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8355" windowHeight="6345" tabRatio="823" activeTab="7"/>
  </bookViews>
  <sheets>
    <sheet name="Level Control Valve" sheetId="1" r:id="rId1"/>
    <sheet name="Two Phase Valve" sheetId="2" r:id="rId2"/>
    <sheet name="Gas Valve" sheetId="3" r:id="rId3"/>
    <sheet name="Steam Valve" sheetId="4" r:id="rId4"/>
    <sheet name="Liquid Valve" sheetId="5" r:id="rId5"/>
    <sheet name="Fisher valve" sheetId="6" r:id="rId6"/>
    <sheet name=" K and CV Conversions" sheetId="7" r:id="rId7"/>
    <sheet name="manual valve Cv " sheetId="8" r:id="rId8"/>
    <sheet name="Control valve sizes" sheetId="9" r:id="rId9"/>
    <sheet name="misc calcx" sheetId="10" r:id="rId10"/>
  </sheets>
  <externalReferences>
    <externalReference r:id="rId13"/>
  </externalReferences>
  <definedNames>
    <definedName name="ACFM">#REF!</definedName>
    <definedName name="Ap">#REF!</definedName>
    <definedName name="Ar">#REF!</definedName>
    <definedName name="Area">#REF!</definedName>
    <definedName name="Base">459.7</definedName>
    <definedName name="BHP" localSheetId="6">#REF!</definedName>
    <definedName name="BHP" localSheetId="5">#REF!</definedName>
    <definedName name="BHP" localSheetId="0">#REF!</definedName>
    <definedName name="BHP" localSheetId="4">#REF!</definedName>
    <definedName name="BHP" localSheetId="9">#REF!</definedName>
    <definedName name="BHP">#REF!</definedName>
    <definedName name="CFS" localSheetId="6">#REF!</definedName>
    <definedName name="CFS" localSheetId="5">#REF!</definedName>
    <definedName name="CFS" localSheetId="0">#REF!</definedName>
    <definedName name="CFS" localSheetId="4">#REF!</definedName>
    <definedName name="CFS" localSheetId="9">#REF!</definedName>
    <definedName name="CFS">#REF!</definedName>
    <definedName name="Clearance">#REF!</definedName>
    <definedName name="CMTD">#REF!</definedName>
    <definedName name="Comp_ratio">#REF!</definedName>
    <definedName name="Control_Valve_DP" localSheetId="6">#REF!</definedName>
    <definedName name="Control_Valve_DP" localSheetId="5">#REF!</definedName>
    <definedName name="Control_Valve_DP" localSheetId="0">#REF!</definedName>
    <definedName name="Control_Valve_DP" localSheetId="4">#REF!</definedName>
    <definedName name="Control_Valve_DP" localSheetId="9">#REF!</definedName>
    <definedName name="Control_Valve_DP">#REF!</definedName>
    <definedName name="cpcv">#REF!</definedName>
    <definedName name="crane_turb_f">#REF!</definedName>
    <definedName name="d">'[1]pipeline dp'!$B$4</definedName>
    <definedName name="Delivery_Pressure__Psia" localSheetId="6">#REF!</definedName>
    <definedName name="Delivery_Pressure__Psia" localSheetId="5">#REF!</definedName>
    <definedName name="Delivery_Pressure__Psia" localSheetId="0">#REF!</definedName>
    <definedName name="Delivery_Pressure__Psia" localSheetId="4">#REF!</definedName>
    <definedName name="Delivery_Pressure__Psia" localSheetId="9">#REF!</definedName>
    <definedName name="Delivery_Pressure__Psia">#REF!</definedName>
    <definedName name="Density" localSheetId="6">#REF!</definedName>
    <definedName name="Density" localSheetId="5">#REF!</definedName>
    <definedName name="Density" localSheetId="0">#REF!</definedName>
    <definedName name="Density" localSheetId="4">#REF!</definedName>
    <definedName name="Density" localSheetId="9">#REF!</definedName>
    <definedName name="Density">#REF!</definedName>
    <definedName name="Density_Disch" localSheetId="6">#REF!</definedName>
    <definedName name="Density_Disch" localSheetId="5">#REF!</definedName>
    <definedName name="Density_Disch" localSheetId="0">#REF!</definedName>
    <definedName name="Density_Disch" localSheetId="4">#REF!</definedName>
    <definedName name="Density_Disch" localSheetId="9">#REF!</definedName>
    <definedName name="Density_Disch">#REF!</definedName>
    <definedName name="Density_suct" localSheetId="6">#REF!</definedName>
    <definedName name="Density_suct" localSheetId="5">#REF!</definedName>
    <definedName name="Density_suct" localSheetId="0">#REF!</definedName>
    <definedName name="Density_suct" localSheetId="4">#REF!</definedName>
    <definedName name="Density_suct" localSheetId="9">#REF!</definedName>
    <definedName name="Density_suct">#REF!</definedName>
    <definedName name="Design_Factor" localSheetId="6">#REF!</definedName>
    <definedName name="Design_Factor" localSheetId="5">#REF!</definedName>
    <definedName name="Design_Factor" localSheetId="0">#REF!</definedName>
    <definedName name="Design_Factor" localSheetId="4">#REF!</definedName>
    <definedName name="Design_Factor" localSheetId="9">#REF!</definedName>
    <definedName name="Design_Factor">#REF!</definedName>
    <definedName name="Diameter">#REF!</definedName>
    <definedName name="Disch_Elevation__Feet" localSheetId="6">#REF!</definedName>
    <definedName name="Disch_Elevation__Feet" localSheetId="5">#REF!</definedName>
    <definedName name="Disch_Elevation__Feet" localSheetId="0">#REF!</definedName>
    <definedName name="Disch_Elevation__Feet" localSheetId="4">#REF!</definedName>
    <definedName name="Disch_Elevation__Feet" localSheetId="9">#REF!</definedName>
    <definedName name="Disch_Elevation__Feet">#REF!</definedName>
    <definedName name="Disch_Press__psig" localSheetId="6">#REF!</definedName>
    <definedName name="Disch_Press__psig" localSheetId="5">#REF!</definedName>
    <definedName name="Disch_Press__psig" localSheetId="0">#REF!</definedName>
    <definedName name="Disch_Press__psig" localSheetId="4">#REF!</definedName>
    <definedName name="Disch_Press__psig" localSheetId="9">#REF!</definedName>
    <definedName name="Disch_Press__psig">#REF!</definedName>
    <definedName name="Discharge_Press__psia" localSheetId="6">#REF!</definedName>
    <definedName name="Discharge_Press__psia" localSheetId="5">#REF!</definedName>
    <definedName name="Discharge_Press__psia" localSheetId="0">#REF!</definedName>
    <definedName name="Discharge_Press__psia" localSheetId="4">#REF!</definedName>
    <definedName name="Discharge_Press__psia" localSheetId="9">#REF!</definedName>
    <definedName name="Discharge_Press__psia">#REF!</definedName>
    <definedName name="Disp">#REF!</definedName>
    <definedName name="DP" localSheetId="6">#REF!</definedName>
    <definedName name="DP" localSheetId="5">#REF!</definedName>
    <definedName name="DP" localSheetId="0">#REF!</definedName>
    <definedName name="DP" localSheetId="4">#REF!</definedName>
    <definedName name="DP" localSheetId="9">#REF!</definedName>
    <definedName name="DP">#REF!</definedName>
    <definedName name="DP__Ft" localSheetId="6">#REF!</definedName>
    <definedName name="DP__Ft" localSheetId="5">#REF!</definedName>
    <definedName name="DP__Ft" localSheetId="0">#REF!</definedName>
    <definedName name="DP__Ft" localSheetId="4">#REF!</definedName>
    <definedName name="DP__Ft" localSheetId="9">#REF!</definedName>
    <definedName name="DP__Ft">#REF!</definedName>
    <definedName name="DP__psia" localSheetId="6">#REF!</definedName>
    <definedName name="DP__psia" localSheetId="5">#REF!</definedName>
    <definedName name="DP__psia" localSheetId="0">#REF!</definedName>
    <definedName name="DP__psia" localSheetId="4">#REF!</definedName>
    <definedName name="DP__psia" localSheetId="9">#REF!</definedName>
    <definedName name="DP__psia">#REF!</definedName>
    <definedName name="Duty">#REF!</definedName>
    <definedName name="Eff" localSheetId="6">#REF!</definedName>
    <definedName name="Eff" localSheetId="5">#REF!</definedName>
    <definedName name="Eff" localSheetId="0">#REF!</definedName>
    <definedName name="Eff" localSheetId="4">#REF!</definedName>
    <definedName name="Eff" localSheetId="9">#REF!</definedName>
    <definedName name="Eff">#REF!</definedName>
    <definedName name="Elevation___Feet" localSheetId="6">#REF!</definedName>
    <definedName name="Elevation___Feet" localSheetId="5">#REF!</definedName>
    <definedName name="Elevation___Feet" localSheetId="0">#REF!</definedName>
    <definedName name="Elevation___Feet" localSheetId="4">#REF!</definedName>
    <definedName name="Elevation___Feet" localSheetId="9">#REF!</definedName>
    <definedName name="Elevation___Feet">#REF!</definedName>
    <definedName name="epsilon">'[1]pipeline dp'!$B$6</definedName>
    <definedName name="Exchangers_DP" localSheetId="6">#REF!</definedName>
    <definedName name="Exchangers_DP" localSheetId="5">#REF!</definedName>
    <definedName name="Exchangers_DP" localSheetId="0">#REF!</definedName>
    <definedName name="Exchangers_DP" localSheetId="4">#REF!</definedName>
    <definedName name="Exchangers_DP" localSheetId="9">#REF!</definedName>
    <definedName name="Exchangers_DP">#REF!</definedName>
    <definedName name="Ft">#REF!</definedName>
    <definedName name="GPM" localSheetId="6">#REF!</definedName>
    <definedName name="GPM" localSheetId="5">#REF!</definedName>
    <definedName name="GPM" localSheetId="0">#REF!</definedName>
    <definedName name="GPM" localSheetId="4">#REF!</definedName>
    <definedName name="GPM" localSheetId="9">#REF!</definedName>
    <definedName name="GPM">#REF!</definedName>
    <definedName name="Head">#REF!</definedName>
    <definedName name="HP" localSheetId="6">#REF!</definedName>
    <definedName name="HP" localSheetId="5">#REF!</definedName>
    <definedName name="HP" localSheetId="0">#REF!</definedName>
    <definedName name="HP" localSheetId="4">#REF!</definedName>
    <definedName name="HP" localSheetId="9">#REF!</definedName>
    <definedName name="HP">#REF!</definedName>
    <definedName name="Isen_eff">#REF!</definedName>
    <definedName name="Kcpcv">#REF!</definedName>
    <definedName name="Kvalue" localSheetId="6">#REF!</definedName>
    <definedName name="Kvalue" localSheetId="5">#REF!</definedName>
    <definedName name="Kvalue" localSheetId="0">#REF!</definedName>
    <definedName name="Kvalue" localSheetId="4">#REF!</definedName>
    <definedName name="Kvalue" localSheetId="9">#REF!</definedName>
    <definedName name="Kvalue">#REF!</definedName>
    <definedName name="LMTD">#REF!</definedName>
    <definedName name="M_LBpHr" localSheetId="6">#REF!</definedName>
    <definedName name="M_LBpHr" localSheetId="5">#REF!</definedName>
    <definedName name="M_LBpHr" localSheetId="0">#REF!</definedName>
    <definedName name="M_LBpHr" localSheetId="4">#REF!</definedName>
    <definedName name="M_LBpHr" localSheetId="9">#REF!</definedName>
    <definedName name="M_LBpHr">#REF!</definedName>
    <definedName name="Meters_DP" localSheetId="6">#REF!</definedName>
    <definedName name="Meters_DP" localSheetId="5">#REF!</definedName>
    <definedName name="Meters_DP" localSheetId="0">#REF!</definedName>
    <definedName name="Meters_DP" localSheetId="4">#REF!</definedName>
    <definedName name="Meters_DP" localSheetId="9">#REF!</definedName>
    <definedName name="Meters_DP">#REF!</definedName>
    <definedName name="MMSCFD">#REF!</definedName>
    <definedName name="Motor_Factor" localSheetId="6">#REF!</definedName>
    <definedName name="Motor_Factor" localSheetId="5">#REF!</definedName>
    <definedName name="Motor_Factor" localSheetId="0">#REF!</definedName>
    <definedName name="Motor_Factor" localSheetId="4">#REF!</definedName>
    <definedName name="Motor_Factor" localSheetId="9">#REF!</definedName>
    <definedName name="Motor_Factor">#REF!</definedName>
    <definedName name="Motor_Hp" localSheetId="6">#REF!</definedName>
    <definedName name="Motor_Hp" localSheetId="5">#REF!</definedName>
    <definedName name="Motor_Hp" localSheetId="0">#REF!</definedName>
    <definedName name="Motor_Hp" localSheetId="4">#REF!</definedName>
    <definedName name="Motor_Hp" localSheetId="9">#REF!</definedName>
    <definedName name="Motor_Hp">#REF!</definedName>
    <definedName name="Mw">#REF!</definedName>
    <definedName name="nominal_diameter">#REF!</definedName>
    <definedName name="NPSA__ft" localSheetId="6">#REF!</definedName>
    <definedName name="NPSA__ft" localSheetId="5">#REF!</definedName>
    <definedName name="NPSA__ft" localSheetId="0">#REF!</definedName>
    <definedName name="NPSA__ft" localSheetId="4">#REF!</definedName>
    <definedName name="NPSA__ft" localSheetId="9">#REF!</definedName>
    <definedName name="NPSA__ft">#REF!</definedName>
    <definedName name="NPSHA_Safety_Factor" localSheetId="6">#REF!</definedName>
    <definedName name="NPSHA_Safety_Factor" localSheetId="5">#REF!</definedName>
    <definedName name="NPSHA_Safety_Factor" localSheetId="0">#REF!</definedName>
    <definedName name="NPSHA_Safety_Factor" localSheetId="4">#REF!</definedName>
    <definedName name="NPSHA_Safety_Factor" localSheetId="9">#REF!</definedName>
    <definedName name="NPSHA_Safety_Factor">#REF!</definedName>
    <definedName name="offset">#REF!</definedName>
    <definedName name="Orifice_dia">#REF!</definedName>
    <definedName name="P_1">#REF!</definedName>
    <definedName name="P_2">#REF!</definedName>
    <definedName name="Pd">#REF!</definedName>
    <definedName name="Pin" localSheetId="6">#REF!</definedName>
    <definedName name="Pin" localSheetId="5">#REF!</definedName>
    <definedName name="Pin" localSheetId="0">#REF!</definedName>
    <definedName name="Pin" localSheetId="4">#REF!</definedName>
    <definedName name="Pin" localSheetId="9">#REF!</definedName>
    <definedName name="Pin">#REF!</definedName>
    <definedName name="Pipe_dia">#REF!</definedName>
    <definedName name="pipe_id">#REF!</definedName>
    <definedName name="Piping_DP" localSheetId="6">#REF!</definedName>
    <definedName name="Piping_DP" localSheetId="5">#REF!</definedName>
    <definedName name="Piping_DP" localSheetId="0">#REF!</definedName>
    <definedName name="Piping_DP" localSheetId="4">#REF!</definedName>
    <definedName name="Piping_DP" localSheetId="9">#REF!</definedName>
    <definedName name="Piping_DP">#REF!</definedName>
    <definedName name="Piping_Loss" localSheetId="6">#REF!</definedName>
    <definedName name="Piping_Loss" localSheetId="5">#REF!</definedName>
    <definedName name="Piping_Loss" localSheetId="0">#REF!</definedName>
    <definedName name="Piping_Loss" localSheetId="4">#REF!</definedName>
    <definedName name="Piping_Loss" localSheetId="9">#REF!</definedName>
    <definedName name="Piping_Loss">#REF!</definedName>
    <definedName name="_xlnm.Print_Area" localSheetId="6">' K and CV Conversions'!#REF!</definedName>
    <definedName name="_xlnm.Print_Area" localSheetId="5">'Fisher valve'!$A$1:$H$22</definedName>
    <definedName name="_xlnm.Print_Area" localSheetId="9">'misc calcx'!$A$81:$H$98</definedName>
    <definedName name="Process_In">#REF!</definedName>
    <definedName name="Process_out">#REF!</definedName>
    <definedName name="Ps">#REF!</definedName>
    <definedName name="Pump_Elevation" localSheetId="6">#REF!</definedName>
    <definedName name="Pump_Elevation" localSheetId="5">#REF!</definedName>
    <definedName name="Pump_Elevation" localSheetId="0">#REF!</definedName>
    <definedName name="Pump_Elevation" localSheetId="4">#REF!</definedName>
    <definedName name="Pump_Elevation" localSheetId="9">#REF!</definedName>
    <definedName name="Pump_Elevation">#REF!</definedName>
    <definedName name="PVP__Psia" localSheetId="6">#REF!</definedName>
    <definedName name="PVP__Psia" localSheetId="5">#REF!</definedName>
    <definedName name="PVP__Psia" localSheetId="0">#REF!</definedName>
    <definedName name="PVP__Psia" localSheetId="4">#REF!</definedName>
    <definedName name="PVP__Psia" localSheetId="9">#REF!</definedName>
    <definedName name="PVP__Psia">#REF!</definedName>
    <definedName name="PVP__psig" localSheetId="6">#REF!</definedName>
    <definedName name="PVP__psig" localSheetId="5">#REF!</definedName>
    <definedName name="PVP__psig" localSheetId="0">#REF!</definedName>
    <definedName name="PVP__psig" localSheetId="4">#REF!</definedName>
    <definedName name="PVP__psig" localSheetId="9">#REF!</definedName>
    <definedName name="PVP__psig">#REF!</definedName>
    <definedName name="reducer_length">#REF!</definedName>
    <definedName name="rho_1">#REF!</definedName>
    <definedName name="rho_2">#REF!</definedName>
    <definedName name="Rho_suct">#REF!</definedName>
    <definedName name="Rhol" localSheetId="6">#REF!</definedName>
    <definedName name="Rhol" localSheetId="5">#REF!</definedName>
    <definedName name="Rhol" localSheetId="0">#REF!</definedName>
    <definedName name="Rhol" localSheetId="4">#REF!</definedName>
    <definedName name="Rhol" localSheetId="9">#REF!</definedName>
    <definedName name="Rhol">#REF!</definedName>
    <definedName name="Rhov" localSheetId="6">#REF!</definedName>
    <definedName name="Rhov" localSheetId="5">#REF!</definedName>
    <definedName name="Rhov" localSheetId="0">#REF!</definedName>
    <definedName name="Rhov" localSheetId="4">#REF!</definedName>
    <definedName name="Rhov" localSheetId="9">#REF!</definedName>
    <definedName name="Rhov">#REF!</definedName>
    <definedName name="Safety_DP" localSheetId="6">#REF!</definedName>
    <definedName name="Safety_DP" localSheetId="5">#REF!</definedName>
    <definedName name="Safety_DP" localSheetId="0">#REF!</definedName>
    <definedName name="Safety_DP" localSheetId="4">#REF!</definedName>
    <definedName name="Safety_DP" localSheetId="9">#REF!</definedName>
    <definedName name="Safety_DP">#REF!</definedName>
    <definedName name="schedule">#REF!</definedName>
    <definedName name="sg">'[1]pipeline dp'!$B$5</definedName>
    <definedName name="Source_Pres__Psia" localSheetId="6">#REF!</definedName>
    <definedName name="Source_Pres__Psia" localSheetId="5">#REF!</definedName>
    <definedName name="Source_Pres__Psia" localSheetId="0">#REF!</definedName>
    <definedName name="Source_Pres__Psia" localSheetId="4">#REF!</definedName>
    <definedName name="Source_Pres__Psia" localSheetId="9">#REF!</definedName>
    <definedName name="Source_Pres__Psia">#REF!</definedName>
    <definedName name="Source_Vessel_MAWP" localSheetId="6">#REF!</definedName>
    <definedName name="Source_Vessel_MAWP" localSheetId="5">#REF!</definedName>
    <definedName name="Source_Vessel_MAWP" localSheetId="0">#REF!</definedName>
    <definedName name="Source_Vessel_MAWP" localSheetId="4">#REF!</definedName>
    <definedName name="Source_Vessel_MAWP" localSheetId="9">#REF!</definedName>
    <definedName name="Source_Vessel_MAWP">#REF!</definedName>
    <definedName name="Suction_Pres__psia" localSheetId="6">#REF!</definedName>
    <definedName name="Suction_Pres__psia" localSheetId="5">#REF!</definedName>
    <definedName name="Suction_Pres__psia" localSheetId="0">#REF!</definedName>
    <definedName name="Suction_Pres__psia" localSheetId="4">#REF!</definedName>
    <definedName name="Suction_Pres__psia" localSheetId="9">#REF!</definedName>
    <definedName name="Suction_Pres__psia">#REF!</definedName>
    <definedName name="Suction_Pres__psig" localSheetId="6">#REF!</definedName>
    <definedName name="Suction_Pres__psig" localSheetId="5">#REF!</definedName>
    <definedName name="Suction_Pres__psig" localSheetId="0">#REF!</definedName>
    <definedName name="Suction_Pres__psig" localSheetId="4">#REF!</definedName>
    <definedName name="Suction_Pres__psig" localSheetId="9">#REF!</definedName>
    <definedName name="Suction_Pres__psig">#REF!</definedName>
    <definedName name="T_1">#REF!</definedName>
    <definedName name="T_2">#REF!</definedName>
    <definedName name="T_degF">#REF!</definedName>
    <definedName name="Td">#REF!</definedName>
    <definedName name="Ts">#REF!</definedName>
    <definedName name="Uallowable" localSheetId="6">#REF!</definedName>
    <definedName name="Uallowable" localSheetId="5">#REF!</definedName>
    <definedName name="Uallowable" localSheetId="0">#REF!</definedName>
    <definedName name="Uallowable" localSheetId="4">#REF!</definedName>
    <definedName name="Uallowable" localSheetId="9">#REF!</definedName>
    <definedName name="Uallowable">#REF!</definedName>
    <definedName name="Uoverall">#REF!</definedName>
    <definedName name="Utility_In">#REF!</definedName>
    <definedName name="Utility_Out">#REF!</definedName>
    <definedName name="Valve_losses">#REF!</definedName>
    <definedName name="VE">#REF!</definedName>
    <definedName name="Vel_1">#REF!</definedName>
    <definedName name="Vel_2">#REF!</definedName>
    <definedName name="W_Lb_Hr">#REF!</definedName>
    <definedName name="W_lb_min">#REF!</definedName>
    <definedName name="Z_1">#REF!</definedName>
    <definedName name="Z_2">#REF!</definedName>
    <definedName name="Zd">#REF!</definedName>
    <definedName name="Zs">#REF!</definedName>
  </definedNames>
  <calcPr fullCalcOnLoad="1"/>
</workbook>
</file>

<file path=xl/sharedStrings.xml><?xml version="1.0" encoding="utf-8"?>
<sst xmlns="http://schemas.openxmlformats.org/spreadsheetml/2006/main" count="294" uniqueCount="131">
  <si>
    <t>K</t>
  </si>
  <si>
    <t>X</t>
  </si>
  <si>
    <t>Z</t>
  </si>
  <si>
    <t>Cp/Cv</t>
  </si>
  <si>
    <t>MMSCFD</t>
  </si>
  <si>
    <t>Input</t>
  </si>
  <si>
    <t>Mw</t>
  </si>
  <si>
    <t>Output</t>
  </si>
  <si>
    <t>Disch Kd</t>
  </si>
  <si>
    <t>lb/hr</t>
  </si>
  <si>
    <t>Relief Pres</t>
  </si>
  <si>
    <t>T, °F</t>
  </si>
  <si>
    <t>T,°R</t>
  </si>
  <si>
    <t>Area, in2</t>
  </si>
  <si>
    <t xml:space="preserve">Coef </t>
  </si>
  <si>
    <t>P1</t>
  </si>
  <si>
    <t>BPD</t>
  </si>
  <si>
    <t>GPM</t>
  </si>
  <si>
    <t>Feed</t>
  </si>
  <si>
    <t>Q, GPM</t>
  </si>
  <si>
    <t>Sg</t>
  </si>
  <si>
    <t>CV</t>
  </si>
  <si>
    <t>Valve Size</t>
  </si>
  <si>
    <t>Restricted</t>
  </si>
  <si>
    <t>P</t>
  </si>
  <si>
    <t>C</t>
  </si>
  <si>
    <t>Tsh</t>
  </si>
  <si>
    <t>C1</t>
  </si>
  <si>
    <t>dp</t>
  </si>
  <si>
    <t>%0pen</t>
  </si>
  <si>
    <t>Q, lb/hr</t>
  </si>
  <si>
    <t xml:space="preserve"> </t>
  </si>
  <si>
    <t>T</t>
  </si>
  <si>
    <t>Tr</t>
  </si>
  <si>
    <t>Liquid Relief</t>
  </si>
  <si>
    <t>Set Pres, psig</t>
  </si>
  <si>
    <t>Relief Pres, psia</t>
  </si>
  <si>
    <t>sg</t>
  </si>
  <si>
    <t>relief Header, psia</t>
  </si>
  <si>
    <t>Gas Relief</t>
  </si>
  <si>
    <t>P2</t>
  </si>
  <si>
    <t>4P6 (6.38 in²)</t>
  </si>
  <si>
    <t>6R8 (16 in²)</t>
  </si>
  <si>
    <t>8T10 (26 in²)</t>
  </si>
  <si>
    <t>gpm</t>
  </si>
  <si>
    <t>Q, SCFH</t>
  </si>
  <si>
    <t>Dp</t>
  </si>
  <si>
    <r>
      <t>CV</t>
    </r>
    <r>
      <rPr>
        <vertAlign val="subscript"/>
        <sz val="10"/>
        <rFont val="Arial"/>
        <family val="2"/>
      </rPr>
      <t>L</t>
    </r>
  </si>
  <si>
    <r>
      <t>CV</t>
    </r>
    <r>
      <rPr>
        <vertAlign val="subscript"/>
        <sz val="10"/>
        <rFont val="Arial"/>
        <family val="2"/>
      </rPr>
      <t>G</t>
    </r>
  </si>
  <si>
    <t>SG (liquid)</t>
  </si>
  <si>
    <t>Mw (gas)</t>
  </si>
  <si>
    <t>Fm</t>
  </si>
  <si>
    <t>Dpallowable</t>
  </si>
  <si>
    <t>Vr, Gas Volume ratio</t>
  </si>
  <si>
    <t>CVr</t>
  </si>
  <si>
    <t>Cg</t>
  </si>
  <si>
    <t>butterfly</t>
  </si>
  <si>
    <t xml:space="preserve">ball </t>
  </si>
  <si>
    <t xml:space="preserve"> 6 inch</t>
  </si>
  <si>
    <t>degrees</t>
  </si>
  <si>
    <t>%</t>
  </si>
  <si>
    <t>flow, gpm</t>
  </si>
  <si>
    <t>4 inch</t>
  </si>
  <si>
    <t>% opening</t>
  </si>
  <si>
    <t>Pipe diameter</t>
  </si>
  <si>
    <t>orifice diameter</t>
  </si>
  <si>
    <t>density, lb/ft³</t>
  </si>
  <si>
    <t>c</t>
  </si>
  <si>
    <t>beta</t>
  </si>
  <si>
    <t>hw, inches wc.</t>
  </si>
  <si>
    <t>R.O.</t>
  </si>
  <si>
    <t>dp, psi</t>
  </si>
  <si>
    <t>area, in²</t>
  </si>
  <si>
    <t>orifice velocity, ft/sec</t>
  </si>
  <si>
    <t>Liquid flowmeter calcs</t>
  </si>
  <si>
    <t>90°</t>
  </si>
  <si>
    <t>60°</t>
  </si>
  <si>
    <t>DP, psi</t>
  </si>
  <si>
    <t>Motive Relief</t>
  </si>
  <si>
    <t>cv to K value calc</t>
  </si>
  <si>
    <t>cv</t>
  </si>
  <si>
    <t>line size</t>
  </si>
  <si>
    <t>K to CV calc</t>
  </si>
  <si>
    <t xml:space="preserve">K  </t>
  </si>
  <si>
    <t>Control Valve</t>
  </si>
  <si>
    <t xml:space="preserve">convert K based </t>
  </si>
  <si>
    <t>on diameter</t>
  </si>
  <si>
    <t>K1</t>
  </si>
  <si>
    <t>D1</t>
  </si>
  <si>
    <t>K2</t>
  </si>
  <si>
    <t>D2</t>
  </si>
  <si>
    <t>Valve Flow</t>
  </si>
  <si>
    <t>Cv</t>
  </si>
  <si>
    <t>Q, MMSCFD</t>
  </si>
  <si>
    <t>Sin Argument</t>
  </si>
  <si>
    <t>Sin Argument, Degrees</t>
  </si>
  <si>
    <t>4 inch ED</t>
  </si>
  <si>
    <t>Liquid</t>
  </si>
  <si>
    <t>Gas</t>
  </si>
  <si>
    <t>Fisher Valves</t>
  </si>
  <si>
    <t>size, inches</t>
  </si>
  <si>
    <t>Steam feed</t>
  </si>
  <si>
    <t>2 inch cv</t>
  </si>
  <si>
    <t>1.5 inch cv</t>
  </si>
  <si>
    <t>70°</t>
  </si>
  <si>
    <t>2 inch vee ball</t>
  </si>
  <si>
    <t>P1, psia</t>
  </si>
  <si>
    <t>SCFH</t>
  </si>
  <si>
    <t>2 inch ball</t>
  </si>
  <si>
    <t>3 inch globe</t>
  </si>
  <si>
    <t>Valve Style</t>
  </si>
  <si>
    <t>Body Size</t>
  </si>
  <si>
    <t>Typical CV, Xc and FL Values for Valves (at 70% travel)</t>
  </si>
  <si>
    <t>Flow Characteristics</t>
  </si>
  <si>
    <t>Equal Percentage</t>
  </si>
  <si>
    <t>Globe</t>
  </si>
  <si>
    <t>Xc</t>
  </si>
  <si>
    <t>Fl</t>
  </si>
  <si>
    <t>Ball</t>
  </si>
  <si>
    <t>Butterfly</t>
  </si>
  <si>
    <t>Size</t>
  </si>
  <si>
    <t>Check Valve</t>
  </si>
  <si>
    <t>Dou Flow</t>
  </si>
  <si>
    <t>Swing</t>
  </si>
  <si>
    <t>Gate</t>
  </si>
  <si>
    <t>Full Port</t>
  </si>
  <si>
    <t>Reduced</t>
  </si>
  <si>
    <t>Throttling Factor for Globe Valves</t>
  </si>
  <si>
    <t>% Open</t>
  </si>
  <si>
    <t>Factor</t>
  </si>
  <si>
    <t>Apply Factor to Full Open Cv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</si>
</sst>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E+00"/>
    <numFmt numFmtId="168" formatCode="0.0000"/>
    <numFmt numFmtId="169" formatCode="#,##0.000"/>
    <numFmt numFmtId="170" formatCode="0.000,,"/>
    <numFmt numFmtId="171" formatCode="0.00,,"/>
    <numFmt numFmtId="172" formatCode="&quot;$&quot;#,##0.000"/>
    <numFmt numFmtId="173" formatCode="0.000000000000000"/>
    <numFmt numFmtId="174" formatCode="0.E+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m\-d\-yy"/>
    <numFmt numFmtId="184" formatCode="m\-d\-yy\ h:mm"/>
    <numFmt numFmtId="185" formatCode="0\ \ \ "/>
    <numFmt numFmtId="186" formatCode="0\ \ \ \ "/>
    <numFmt numFmtId="187" formatCode="0\ \ \ \ \ "/>
    <numFmt numFmtId="188" formatCode="0.00\ "/>
    <numFmt numFmtId="189" formatCode="0.0\ "/>
    <numFmt numFmtId="190" formatCode="0.0\ \ "/>
    <numFmt numFmtId="191" formatCode="0\ \ \ \ \ \ "/>
    <numFmt numFmtId="192" formatCode="0\ \ \ \ \ \ \ "/>
    <numFmt numFmtId="193" formatCode="0\ \ \ \ \ \ \ \ "/>
    <numFmt numFmtId="194" formatCode="0.#\ \ \ \ \ "/>
    <numFmt numFmtId="195" formatCode="General\ \ \ \ \ "/>
    <numFmt numFmtId="196" formatCode="General\ \ \ \ "/>
    <numFmt numFmtId="197" formatCode="0\ \ "/>
    <numFmt numFmtId="198" formatCode="General\ \ \ "/>
    <numFmt numFmtId="199" formatCode="General\ \ "/>
    <numFmt numFmtId="200" formatCode="General\ "/>
    <numFmt numFmtId="201" formatCode="#,##0.0000"/>
    <numFmt numFmtId="202" formatCode="0.00000000"/>
    <numFmt numFmtId="203" formatCode="0.0000000"/>
    <numFmt numFmtId="204" formatCode="0.000000"/>
    <numFmt numFmtId="205" formatCode="#,##0.0"/>
    <numFmt numFmtId="206" formatCode="0.0000E+00"/>
    <numFmt numFmtId="207" formatCode="0.00000E+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 Notch Ball Valve (6 inch)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6875"/>
          <c:w val="0.9295"/>
          <c:h val="0.84725"/>
        </c:manualLayout>
      </c:layout>
      <c:scatterChart>
        <c:scatterStyle val="lineMarker"/>
        <c:varyColors val="0"/>
        <c:ser>
          <c:idx val="0"/>
          <c:order val="0"/>
          <c:tx>
            <c:v>2 psi 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'Level Control Valve'!$I$22:$L$22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'Level Control Valve'!$I$16:$L$16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0.5 psi DP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'Level Control Valve'!$I$10:$K$10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'Level Control Valve'!$I$4:$L$4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1698698"/>
        <c:axId val="61070555"/>
      </c:scatterChart>
      <c:valAx>
        <c:axId val="21698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70555"/>
        <c:crosses val="autoZero"/>
        <c:crossBetween val="midCat"/>
        <c:dispUnits/>
      </c:valAx>
      <c:valAx>
        <c:axId val="6107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8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84"/>
          <c:w val="0.9582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v>6 inch ball valve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'Level Control Valve'!$I$22:$L$22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'Level Control Valve'!$I$16:$L$16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 inch ball valve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'Level Control Valve'!$I$33:$K$33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'Level Control Valve'!$I$27:$L$27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4 inch butterfly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'Level Control Valve'!$B$33:$E$33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'Level Control Valve'!$B$26:$E$26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2764084"/>
        <c:axId val="47767893"/>
      </c:scatterChart>
      <c:valAx>
        <c:axId val="12764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67893"/>
        <c:crosses val="autoZero"/>
        <c:crossBetween val="midCat"/>
        <c:dispUnits/>
      </c:valAx>
      <c:valAx>
        <c:axId val="47767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4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875"/>
          <c:w val="0.958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v>6 inch ball valve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'Liquid Valve'!$B$9:$E$9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'Liquid Valve'!$B$2:$E$2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 inch ball valve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'Liquid Valve'!$J$9:$L$9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'Liquid Valve'!$J$2:$M$2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4 inch butterfly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'Liquid Valve'!$F$9:$I$9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'Liquid Valve'!$F$2:$I$2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7257854"/>
        <c:axId val="43994095"/>
      </c:scatterChart>
      <c:valAx>
        <c:axId val="27257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94095"/>
        <c:crosses val="autoZero"/>
        <c:crossBetween val="midCat"/>
        <c:dispUnits/>
      </c:valAx>
      <c:valAx>
        <c:axId val="4399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57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9"/>
          <c:y val="0.4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51</xdr:row>
      <xdr:rowOff>133350</xdr:rowOff>
    </xdr:from>
    <xdr:to>
      <xdr:col>12</xdr:col>
      <xdr:colOff>152400</xdr:colOff>
      <xdr:row>75</xdr:row>
      <xdr:rowOff>76200</xdr:rowOff>
    </xdr:to>
    <xdr:graphicFrame>
      <xdr:nvGraphicFramePr>
        <xdr:cNvPr id="1" name="Chart 1"/>
        <xdr:cNvGraphicFramePr/>
      </xdr:nvGraphicFramePr>
      <xdr:xfrm>
        <a:off x="1571625" y="8391525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45</xdr:row>
      <xdr:rowOff>123825</xdr:rowOff>
    </xdr:from>
    <xdr:to>
      <xdr:col>11</xdr:col>
      <xdr:colOff>533400</xdr:colOff>
      <xdr:row>69</xdr:row>
      <xdr:rowOff>76200</xdr:rowOff>
    </xdr:to>
    <xdr:graphicFrame>
      <xdr:nvGraphicFramePr>
        <xdr:cNvPr id="2" name="Chart 3"/>
        <xdr:cNvGraphicFramePr/>
      </xdr:nvGraphicFramePr>
      <xdr:xfrm>
        <a:off x="1333500" y="7410450"/>
        <a:ext cx="59055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0</xdr:col>
      <xdr:colOff>781050</xdr:colOff>
      <xdr:row>2</xdr:row>
      <xdr:rowOff>19050</xdr:rowOff>
    </xdr:to>
    <xdr:sp macro="[0]!CVFlash">
      <xdr:nvSpPr>
        <xdr:cNvPr id="1" name="AutoShape 1"/>
        <xdr:cNvSpPr>
          <a:spLocks/>
        </xdr:cNvSpPr>
      </xdr:nvSpPr>
      <xdr:spPr>
        <a:xfrm>
          <a:off x="47625" y="95250"/>
          <a:ext cx="733425" cy="2476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Calculate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11</xdr:row>
      <xdr:rowOff>161925</xdr:rowOff>
    </xdr:from>
    <xdr:to>
      <xdr:col>2</xdr:col>
      <xdr:colOff>762000</xdr:colOff>
      <xdr:row>14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33575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</xdr:row>
      <xdr:rowOff>95250</xdr:rowOff>
    </xdr:from>
    <xdr:to>
      <xdr:col>10</xdr:col>
      <xdr:colOff>561975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0" y="17145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18</xdr:row>
      <xdr:rowOff>76200</xdr:rowOff>
    </xdr:from>
    <xdr:to>
      <xdr:col>4</xdr:col>
      <xdr:colOff>114300</xdr:colOff>
      <xdr:row>21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7525"/>
          <a:ext cx="3771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25</xdr:row>
      <xdr:rowOff>133350</xdr:rowOff>
    </xdr:from>
    <xdr:to>
      <xdr:col>1</xdr:col>
      <xdr:colOff>247650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6242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26</xdr:row>
      <xdr:rowOff>95250</xdr:rowOff>
    </xdr:from>
    <xdr:to>
      <xdr:col>3</xdr:col>
      <xdr:colOff>133350</xdr:colOff>
      <xdr:row>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4286250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29</xdr:row>
      <xdr:rowOff>142875</xdr:rowOff>
    </xdr:from>
    <xdr:to>
      <xdr:col>10</xdr:col>
      <xdr:colOff>371475</xdr:colOff>
      <xdr:row>33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48225"/>
          <a:ext cx="6562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EXCEL\friction%20fa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 dp"/>
      <sheetName val="Sheet1"/>
      <sheetName val="Moody Char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20</v>
          </cell>
        </row>
        <row r="5">
          <cell r="B5">
            <v>0.7</v>
          </cell>
        </row>
        <row r="6">
          <cell r="B6">
            <v>0.0006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3"/>
  <sheetViews>
    <sheetView workbookViewId="0" topLeftCell="A1">
      <selection activeCell="F21" sqref="F21"/>
    </sheetView>
  </sheetViews>
  <sheetFormatPr defaultColWidth="9.140625" defaultRowHeight="12.75"/>
  <sheetData>
    <row r="1" spans="3:10" ht="12.75">
      <c r="C1" t="s">
        <v>56</v>
      </c>
      <c r="J1" t="s">
        <v>57</v>
      </c>
    </row>
    <row r="2" spans="3:10" ht="12.75">
      <c r="C2" t="s">
        <v>58</v>
      </c>
      <c r="J2" t="s">
        <v>58</v>
      </c>
    </row>
    <row r="4" spans="1:12" ht="12.75">
      <c r="A4" t="s">
        <v>59</v>
      </c>
      <c r="B4">
        <v>90</v>
      </c>
      <c r="C4">
        <v>60</v>
      </c>
      <c r="D4">
        <v>30</v>
      </c>
      <c r="E4">
        <v>10</v>
      </c>
      <c r="H4" t="s">
        <v>60</v>
      </c>
      <c r="I4">
        <v>100</v>
      </c>
      <c r="J4">
        <v>60</v>
      </c>
      <c r="K4">
        <v>30</v>
      </c>
      <c r="L4">
        <v>10</v>
      </c>
    </row>
    <row r="5" spans="1:12" ht="12.75">
      <c r="A5" t="s">
        <v>21</v>
      </c>
      <c r="B5">
        <v>921</v>
      </c>
      <c r="C5">
        <v>543</v>
      </c>
      <c r="D5">
        <v>221</v>
      </c>
      <c r="E5">
        <v>32</v>
      </c>
      <c r="H5" t="s">
        <v>21</v>
      </c>
      <c r="I5">
        <v>1150</v>
      </c>
      <c r="J5">
        <v>253</v>
      </c>
      <c r="K5">
        <v>53.3</v>
      </c>
      <c r="L5">
        <v>5.17</v>
      </c>
    </row>
    <row r="6" spans="1:12" ht="12.75">
      <c r="A6" t="s">
        <v>28</v>
      </c>
      <c r="B6">
        <v>5</v>
      </c>
      <c r="C6">
        <v>5</v>
      </c>
      <c r="D6">
        <v>5</v>
      </c>
      <c r="E6">
        <v>5</v>
      </c>
      <c r="H6" t="s">
        <v>28</v>
      </c>
      <c r="I6">
        <v>0.5</v>
      </c>
      <c r="J6">
        <v>0.5</v>
      </c>
      <c r="K6">
        <v>0.5</v>
      </c>
      <c r="L6">
        <v>0.5</v>
      </c>
    </row>
    <row r="7" spans="1:12" ht="12.75">
      <c r="A7" t="s">
        <v>37</v>
      </c>
      <c r="B7">
        <v>0.5</v>
      </c>
      <c r="C7">
        <v>0.5</v>
      </c>
      <c r="D7">
        <v>0.5</v>
      </c>
      <c r="E7">
        <v>0.5</v>
      </c>
      <c r="H7" t="s">
        <v>37</v>
      </c>
      <c r="I7">
        <v>0.5</v>
      </c>
      <c r="J7">
        <v>0.5</v>
      </c>
      <c r="K7">
        <v>0.5</v>
      </c>
      <c r="L7">
        <v>0.5</v>
      </c>
    </row>
    <row r="10" spans="1:12" ht="12.75">
      <c r="A10" t="s">
        <v>61</v>
      </c>
      <c r="B10">
        <f>B5*SQRT(B6/B7)</f>
        <v>2912.4577250150774</v>
      </c>
      <c r="C10">
        <f>C5*SQRT(C6/C7)</f>
        <v>1717.1167694714302</v>
      </c>
      <c r="D10">
        <f>D5*SQRT(D6/D7)</f>
        <v>698.8633628972119</v>
      </c>
      <c r="E10">
        <f>E5*SQRT(E6/E7)</f>
        <v>101.19288512538814</v>
      </c>
      <c r="H10" t="s">
        <v>61</v>
      </c>
      <c r="I10">
        <f>I5*SQRT(I6/I7)</f>
        <v>1150</v>
      </c>
      <c r="J10">
        <f>J5*SQRT(J6/J7)</f>
        <v>253</v>
      </c>
      <c r="K10">
        <f>K5*SQRT(K6/K7)</f>
        <v>53.3</v>
      </c>
      <c r="L10">
        <f>L5*SQRT(L6/L7)</f>
        <v>5.17</v>
      </c>
    </row>
    <row r="14" spans="3:10" ht="12.75">
      <c r="C14" t="s">
        <v>58</v>
      </c>
      <c r="J14" t="s">
        <v>58</v>
      </c>
    </row>
    <row r="16" spans="1:12" ht="12.75">
      <c r="A16" t="s">
        <v>59</v>
      </c>
      <c r="B16">
        <v>90</v>
      </c>
      <c r="C16">
        <v>60</v>
      </c>
      <c r="D16">
        <v>30</v>
      </c>
      <c r="E16">
        <v>10</v>
      </c>
      <c r="H16" t="s">
        <v>60</v>
      </c>
      <c r="I16">
        <v>100</v>
      </c>
      <c r="J16">
        <v>60</v>
      </c>
      <c r="K16">
        <v>30</v>
      </c>
      <c r="L16">
        <v>10</v>
      </c>
    </row>
    <row r="17" spans="1:12" ht="12.75">
      <c r="A17" t="s">
        <v>21</v>
      </c>
      <c r="B17">
        <v>921</v>
      </c>
      <c r="C17">
        <v>543</v>
      </c>
      <c r="D17">
        <v>221</v>
      </c>
      <c r="E17">
        <v>32</v>
      </c>
      <c r="H17" t="s">
        <v>21</v>
      </c>
      <c r="I17">
        <v>1150</v>
      </c>
      <c r="J17">
        <v>253</v>
      </c>
      <c r="K17">
        <v>53.3</v>
      </c>
      <c r="L17">
        <v>5.17</v>
      </c>
    </row>
    <row r="18" spans="1:12" ht="12.75">
      <c r="A18" t="s">
        <v>28</v>
      </c>
      <c r="B18">
        <v>2</v>
      </c>
      <c r="C18">
        <v>2</v>
      </c>
      <c r="D18">
        <v>2</v>
      </c>
      <c r="E18">
        <v>2</v>
      </c>
      <c r="H18" t="s">
        <v>28</v>
      </c>
      <c r="I18">
        <v>2</v>
      </c>
      <c r="J18">
        <v>2</v>
      </c>
      <c r="K18">
        <v>2</v>
      </c>
      <c r="L18">
        <v>2</v>
      </c>
    </row>
    <row r="19" spans="1:12" ht="12.75">
      <c r="A19" t="s">
        <v>37</v>
      </c>
      <c r="B19">
        <v>0.5</v>
      </c>
      <c r="C19">
        <v>0.5</v>
      </c>
      <c r="D19">
        <v>0.5</v>
      </c>
      <c r="E19">
        <v>0.5</v>
      </c>
      <c r="H19" t="s">
        <v>37</v>
      </c>
      <c r="I19">
        <v>0.5</v>
      </c>
      <c r="J19">
        <v>0.5</v>
      </c>
      <c r="K19">
        <v>0.5</v>
      </c>
      <c r="L19">
        <v>0.5</v>
      </c>
    </row>
    <row r="22" spans="1:12" ht="12.75">
      <c r="A22" t="s">
        <v>61</v>
      </c>
      <c r="B22">
        <f>B17*SQRT(B18/B19)</f>
        <v>1842</v>
      </c>
      <c r="C22">
        <f>C17*SQRT(C18/C19)</f>
        <v>1086</v>
      </c>
      <c r="D22">
        <f>D17*SQRT(D18/D19)</f>
        <v>442</v>
      </c>
      <c r="E22">
        <f>E17*SQRT(E18/E19)</f>
        <v>64</v>
      </c>
      <c r="H22" t="s">
        <v>61</v>
      </c>
      <c r="I22">
        <f>I17*SQRT(I18/I19)</f>
        <v>2300</v>
      </c>
      <c r="J22">
        <f>J17*SQRT(J18/J19)</f>
        <v>506</v>
      </c>
      <c r="K22">
        <f>K17*SQRT(K18/K19)</f>
        <v>106.6</v>
      </c>
      <c r="L22">
        <f>L17*SQRT(L18/L19)</f>
        <v>10.34</v>
      </c>
    </row>
    <row r="25" spans="3:10" ht="12.75">
      <c r="C25" t="s">
        <v>62</v>
      </c>
      <c r="J25" t="s">
        <v>62</v>
      </c>
    </row>
    <row r="26" spans="1:5" ht="12.75">
      <c r="A26" t="s">
        <v>63</v>
      </c>
      <c r="B26">
        <f>100*B27/90</f>
        <v>100</v>
      </c>
      <c r="C26">
        <f>100*C27/90</f>
        <v>66.66666666666667</v>
      </c>
      <c r="D26">
        <f>100*D27/90</f>
        <v>33.333333333333336</v>
      </c>
      <c r="E26">
        <f>100*E27/90</f>
        <v>11.11111111111111</v>
      </c>
    </row>
    <row r="27" spans="1:12" ht="12.75">
      <c r="A27" t="s">
        <v>59</v>
      </c>
      <c r="B27">
        <v>90</v>
      </c>
      <c r="C27">
        <v>60</v>
      </c>
      <c r="D27">
        <v>30</v>
      </c>
      <c r="E27">
        <v>10</v>
      </c>
      <c r="H27" t="s">
        <v>60</v>
      </c>
      <c r="I27">
        <v>100</v>
      </c>
      <c r="J27">
        <v>60</v>
      </c>
      <c r="K27">
        <v>30</v>
      </c>
      <c r="L27">
        <v>10</v>
      </c>
    </row>
    <row r="28" spans="1:12" ht="12.75">
      <c r="A28" t="s">
        <v>21</v>
      </c>
      <c r="B28">
        <v>434</v>
      </c>
      <c r="C28">
        <v>222</v>
      </c>
      <c r="D28">
        <v>82.5</v>
      </c>
      <c r="E28">
        <v>11.9</v>
      </c>
      <c r="H28" t="s">
        <v>21</v>
      </c>
      <c r="I28">
        <v>530</v>
      </c>
      <c r="J28">
        <v>142</v>
      </c>
      <c r="K28">
        <v>34.1</v>
      </c>
      <c r="L28">
        <v>1.22</v>
      </c>
    </row>
    <row r="29" spans="1:12" ht="12.75">
      <c r="A29" t="s">
        <v>28</v>
      </c>
      <c r="B29">
        <v>2</v>
      </c>
      <c r="C29">
        <v>2</v>
      </c>
      <c r="D29">
        <v>2</v>
      </c>
      <c r="E29">
        <v>2</v>
      </c>
      <c r="H29" t="s">
        <v>28</v>
      </c>
      <c r="I29">
        <v>2</v>
      </c>
      <c r="J29">
        <v>2</v>
      </c>
      <c r="K29">
        <v>2</v>
      </c>
      <c r="L29">
        <v>2</v>
      </c>
    </row>
    <row r="30" spans="1:12" ht="12.75">
      <c r="A30" t="s">
        <v>37</v>
      </c>
      <c r="B30">
        <v>0.5</v>
      </c>
      <c r="C30">
        <v>0.6</v>
      </c>
      <c r="D30">
        <v>0.6</v>
      </c>
      <c r="E30">
        <v>0.6</v>
      </c>
      <c r="H30" t="s">
        <v>37</v>
      </c>
      <c r="I30">
        <v>0.5</v>
      </c>
      <c r="J30">
        <v>0.5</v>
      </c>
      <c r="K30">
        <v>0.5</v>
      </c>
      <c r="L30">
        <v>0.5</v>
      </c>
    </row>
    <row r="33" spans="1:12" ht="12.75">
      <c r="A33" t="s">
        <v>61</v>
      </c>
      <c r="B33">
        <f>B28*SQRT(B29/B30)</f>
        <v>868</v>
      </c>
      <c r="C33">
        <f>C28*SQRT(C29/C30)</f>
        <v>405.31469255382297</v>
      </c>
      <c r="D33">
        <f>D28*SQRT(D29/D30)</f>
        <v>150.62370331392069</v>
      </c>
      <c r="E33">
        <f>E28*SQRT(E29/E30)</f>
        <v>21.72632811437159</v>
      </c>
      <c r="H33" t="s">
        <v>61</v>
      </c>
      <c r="I33">
        <f>I28*SQRT(I29/I30)</f>
        <v>1060</v>
      </c>
      <c r="J33">
        <f>J28*SQRT(J29/J30)</f>
        <v>284</v>
      </c>
      <c r="K33">
        <f>K28*SQRT(K29/K30)</f>
        <v>68.2</v>
      </c>
      <c r="L33">
        <f>L28*SQRT(L29/L30)</f>
        <v>2.44</v>
      </c>
    </row>
    <row r="35" ht="12.75">
      <c r="J35" t="s">
        <v>58</v>
      </c>
    </row>
    <row r="37" spans="8:12" ht="12.75">
      <c r="H37" t="s">
        <v>60</v>
      </c>
      <c r="I37">
        <v>100</v>
      </c>
      <c r="J37">
        <v>60</v>
      </c>
      <c r="K37">
        <v>30</v>
      </c>
      <c r="L37">
        <v>10</v>
      </c>
    </row>
    <row r="38" spans="8:12" ht="12.75">
      <c r="H38" t="s">
        <v>21</v>
      </c>
      <c r="I38">
        <v>1150</v>
      </c>
      <c r="J38">
        <v>253</v>
      </c>
      <c r="K38">
        <v>53.3</v>
      </c>
      <c r="L38">
        <v>5.17</v>
      </c>
    </row>
    <row r="39" spans="8:12" ht="12.75">
      <c r="H39" t="s">
        <v>28</v>
      </c>
      <c r="I39">
        <v>3.5</v>
      </c>
      <c r="J39">
        <v>3.5</v>
      </c>
      <c r="K39">
        <v>3.5</v>
      </c>
      <c r="L39">
        <v>3.5</v>
      </c>
    </row>
    <row r="40" spans="8:12" ht="12.75">
      <c r="H40" t="s">
        <v>37</v>
      </c>
      <c r="I40">
        <v>0.5</v>
      </c>
      <c r="J40">
        <v>0.5</v>
      </c>
      <c r="K40">
        <v>0.5</v>
      </c>
      <c r="L40">
        <v>0.5</v>
      </c>
    </row>
    <row r="43" spans="8:12" ht="12.75">
      <c r="H43" t="s">
        <v>61</v>
      </c>
      <c r="I43">
        <f>I38*SQRT(I39/I40)</f>
        <v>3042.6140077242794</v>
      </c>
      <c r="J43">
        <f>J38*SQRT(J39/J40)</f>
        <v>669.3750816993414</v>
      </c>
      <c r="K43">
        <f>K38*SQRT(K39/K40)</f>
        <v>141.01854487974268</v>
      </c>
      <c r="L43">
        <f>L38*SQRT(L39/L40)</f>
        <v>13.678534278203934</v>
      </c>
    </row>
  </sheetData>
  <printOptions/>
  <pageMargins left="0.31" right="0.44" top="0.24" bottom="0.71" header="0.06" footer="0.5"/>
  <pageSetup fitToHeight="1" fitToWidth="1" horizontalDpi="600" verticalDpi="600" orientation="portrait" scale="77" r:id="rId2"/>
  <headerFooter alignWithMargins="0">
    <oddFooter>&amp;L&amp;F - &amp;A&amp;CRev 0, July 30, 2006&amp;R&amp;D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L100"/>
  <sheetViews>
    <sheetView workbookViewId="0" topLeftCell="A1">
      <selection activeCell="J40" sqref="J40"/>
    </sheetView>
  </sheetViews>
  <sheetFormatPr defaultColWidth="9.140625" defaultRowHeight="12.75"/>
  <cols>
    <col min="1" max="1" width="21.140625" style="0" customWidth="1"/>
    <col min="2" max="5" width="12.28125" style="0" customWidth="1"/>
    <col min="6" max="6" width="12.421875" style="0" customWidth="1"/>
    <col min="8" max="8" width="10.421875" style="0" customWidth="1"/>
  </cols>
  <sheetData>
    <row r="3" ht="12.75">
      <c r="A3" s="19" t="s">
        <v>74</v>
      </c>
    </row>
    <row r="4" spans="1:9" ht="12.75">
      <c r="A4" s="19" t="s">
        <v>5</v>
      </c>
      <c r="I4" s="19" t="s">
        <v>84</v>
      </c>
    </row>
    <row r="5" spans="8:12" ht="12.75">
      <c r="H5" s="1"/>
      <c r="I5" s="6" t="s">
        <v>18</v>
      </c>
      <c r="J5" s="7"/>
      <c r="K5" s="7"/>
      <c r="L5" s="7"/>
    </row>
    <row r="6" spans="1:12" ht="12.75">
      <c r="A6" t="s">
        <v>64</v>
      </c>
      <c r="B6" s="3">
        <v>6</v>
      </c>
      <c r="C6" s="3">
        <v>8</v>
      </c>
      <c r="D6" s="3">
        <v>8</v>
      </c>
      <c r="E6" s="3">
        <v>8</v>
      </c>
      <c r="F6" s="3">
        <v>10</v>
      </c>
      <c r="H6" s="1"/>
      <c r="I6" s="6" t="s">
        <v>75</v>
      </c>
      <c r="J6" s="6" t="s">
        <v>76</v>
      </c>
      <c r="K6" s="6" t="s">
        <v>75</v>
      </c>
      <c r="L6" s="6" t="s">
        <v>76</v>
      </c>
    </row>
    <row r="7" spans="1:12" ht="12.75">
      <c r="A7" t="s">
        <v>65</v>
      </c>
      <c r="B7" s="3">
        <v>4.2</v>
      </c>
      <c r="C7" s="3">
        <v>4.41</v>
      </c>
      <c r="D7" s="3">
        <v>4.7</v>
      </c>
      <c r="E7" s="3">
        <v>6</v>
      </c>
      <c r="F7" s="3">
        <v>7</v>
      </c>
      <c r="H7" t="s">
        <v>19</v>
      </c>
      <c r="I7" s="1">
        <v>420</v>
      </c>
      <c r="J7" s="1">
        <v>2333</v>
      </c>
      <c r="K7" s="1">
        <v>2333</v>
      </c>
      <c r="L7" s="1">
        <v>2333</v>
      </c>
    </row>
    <row r="8" spans="1:12" ht="12.75">
      <c r="A8" t="s">
        <v>66</v>
      </c>
      <c r="B8" s="3">
        <v>42</v>
      </c>
      <c r="C8" s="3">
        <v>62.4</v>
      </c>
      <c r="D8" s="3">
        <v>62.4</v>
      </c>
      <c r="E8" s="3">
        <v>62.4</v>
      </c>
      <c r="F8" s="3">
        <v>62.4</v>
      </c>
      <c r="H8" t="s">
        <v>77</v>
      </c>
      <c r="I8" s="1">
        <v>5</v>
      </c>
      <c r="J8" s="1">
        <v>23</v>
      </c>
      <c r="K8" s="1">
        <v>5</v>
      </c>
      <c r="L8" s="1">
        <v>65</v>
      </c>
    </row>
    <row r="9" spans="1:12" ht="12.75">
      <c r="A9" t="s">
        <v>44</v>
      </c>
      <c r="B9" s="4">
        <v>700</v>
      </c>
      <c r="C9" s="4">
        <v>2333</v>
      </c>
      <c r="D9" s="4">
        <v>2333</v>
      </c>
      <c r="E9" s="4">
        <v>2333</v>
      </c>
      <c r="F9" s="4">
        <v>2333</v>
      </c>
      <c r="H9" t="s">
        <v>20</v>
      </c>
      <c r="I9" s="1">
        <v>0.5</v>
      </c>
      <c r="J9" s="1">
        <v>0.5</v>
      </c>
      <c r="K9" s="1">
        <v>0.5</v>
      </c>
      <c r="L9" s="1">
        <v>0.5</v>
      </c>
    </row>
    <row r="10" spans="1:12" ht="12.75">
      <c r="A10" t="s">
        <v>67</v>
      </c>
      <c r="B10" s="3">
        <v>0.62</v>
      </c>
      <c r="C10" s="3">
        <v>0.62</v>
      </c>
      <c r="D10" s="3">
        <v>0.62</v>
      </c>
      <c r="E10" s="3">
        <v>0.62</v>
      </c>
      <c r="F10" s="3">
        <v>0.62</v>
      </c>
      <c r="H10" t="s">
        <v>21</v>
      </c>
      <c r="I10" s="20">
        <f>I7*SQRT(I9/I8)</f>
        <v>132.81566172707193</v>
      </c>
      <c r="J10" s="20">
        <f>J7*SQRT(J9/J8)</f>
        <v>343.982083709375</v>
      </c>
      <c r="K10" s="20">
        <f>K7*SQRT(K9/K8)</f>
        <v>737.759378117283</v>
      </c>
      <c r="L10" s="20">
        <f>L7*SQRT(L9/L8)</f>
        <v>204.61763590432992</v>
      </c>
    </row>
    <row r="11" spans="2:12" ht="12.75">
      <c r="B11" s="3"/>
      <c r="C11" s="3"/>
      <c r="D11" s="3"/>
      <c r="E11" s="3"/>
      <c r="F11" s="3"/>
      <c r="I11" s="1"/>
      <c r="J11" s="1"/>
      <c r="K11" s="1"/>
      <c r="L11" s="1"/>
    </row>
    <row r="12" spans="2:12" ht="12.75">
      <c r="B12" s="3"/>
      <c r="C12" s="3"/>
      <c r="D12" s="3"/>
      <c r="E12" s="3"/>
      <c r="F12" s="3"/>
      <c r="H12" t="s">
        <v>22</v>
      </c>
      <c r="I12" s="1">
        <v>8</v>
      </c>
      <c r="J12" s="1">
        <v>8</v>
      </c>
      <c r="K12" s="1">
        <v>6</v>
      </c>
      <c r="L12" s="1">
        <v>6</v>
      </c>
    </row>
    <row r="13" spans="1:6" ht="12.75">
      <c r="A13" t="s">
        <v>7</v>
      </c>
      <c r="B13" s="3"/>
      <c r="C13" s="3"/>
      <c r="D13" s="3"/>
      <c r="E13" s="3"/>
      <c r="F13" s="3"/>
    </row>
    <row r="14" spans="1:6" ht="12.75">
      <c r="A14" t="s">
        <v>16</v>
      </c>
      <c r="B14" s="4">
        <f>B9/42*1440</f>
        <v>24000</v>
      </c>
      <c r="C14" s="4">
        <f>C9/42*1440</f>
        <v>79988.57142857143</v>
      </c>
      <c r="D14" s="4">
        <f>D9/42*1440</f>
        <v>79988.57142857143</v>
      </c>
      <c r="E14" s="4">
        <f>E9/42*1440</f>
        <v>79988.57142857143</v>
      </c>
      <c r="F14" s="4">
        <f>F9/42*1440</f>
        <v>79988.57142857143</v>
      </c>
    </row>
    <row r="15" spans="1:6" ht="12.75">
      <c r="A15" t="s">
        <v>68</v>
      </c>
      <c r="B15" s="12">
        <f>B7/B6</f>
        <v>0.7000000000000001</v>
      </c>
      <c r="C15" s="12">
        <f>C7/C6</f>
        <v>0.55125</v>
      </c>
      <c r="D15" s="12">
        <f>D7/D6</f>
        <v>0.5875</v>
      </c>
      <c r="E15" s="12">
        <f>E7/E6</f>
        <v>0.75</v>
      </c>
      <c r="F15" s="12">
        <f>F7/F6</f>
        <v>0.7</v>
      </c>
    </row>
    <row r="16" spans="1:6" ht="12.75">
      <c r="A16" t="s">
        <v>69</v>
      </c>
      <c r="B16" s="4">
        <f>B8*(1-B15^4)*(B9/(44.75*B10*B7^2))^2</f>
        <v>65.28827513621286</v>
      </c>
      <c r="C16" s="4">
        <f>C8*(1-C15^4)*(C9/(44.75*C10*C7^2))^2</f>
        <v>1058.797692237724</v>
      </c>
      <c r="D16" s="4">
        <f>D8*(1-D15^4)*(D9/(44.75*D10*D7^2))^2</f>
        <v>796.4593186352491</v>
      </c>
      <c r="E16" s="4">
        <f>E8*(1-E15^4)*(E9/(44.75*E10*E7^2))^2</f>
        <v>232.7221341004274</v>
      </c>
      <c r="F16" s="4">
        <f>F8*(1-F15^4)*(F9/(44.75*F10*F7^2))^2</f>
        <v>139.63969559882017</v>
      </c>
    </row>
    <row r="17" spans="1:6" ht="12.75">
      <c r="A17" t="s">
        <v>71</v>
      </c>
      <c r="B17" s="3">
        <f>B16/27.74</f>
        <v>2.3535787720336288</v>
      </c>
      <c r="C17" s="3">
        <f>C16/27.74</f>
        <v>38.16862625226114</v>
      </c>
      <c r="D17" s="3">
        <f>D16/27.74</f>
        <v>28.711583224053683</v>
      </c>
      <c r="E17" s="3">
        <f>E16/27.74</f>
        <v>8.38940642034706</v>
      </c>
      <c r="F17" s="3">
        <f>F16/27.74</f>
        <v>5.033875111709452</v>
      </c>
    </row>
    <row r="18" spans="1:6" ht="12.75">
      <c r="A18" t="s">
        <v>72</v>
      </c>
      <c r="B18" s="3">
        <f>3.14*(B7/2)^2</f>
        <v>13.8474</v>
      </c>
      <c r="C18" s="3">
        <f>3.14*(C7/2)^2</f>
        <v>15.2667585</v>
      </c>
      <c r="D18" s="3">
        <f>3.14*(D7/2)^2</f>
        <v>17.340650000000004</v>
      </c>
      <c r="E18" s="3">
        <f>3.14*(E7/2)^2</f>
        <v>28.26</v>
      </c>
      <c r="F18" s="3">
        <f>3.14*(F7/2)^2</f>
        <v>38.465</v>
      </c>
    </row>
    <row r="19" spans="1:6" ht="12.75">
      <c r="A19" t="s">
        <v>73</v>
      </c>
      <c r="B19" s="3">
        <f>B9/7.481/60/(3.14*(B7/2)^2/144)</f>
        <v>16.217406004016162</v>
      </c>
      <c r="C19" s="3">
        <f>C9/7.481/60/(3.14*(C7/2)^2/144)</f>
        <v>49.02521309668896</v>
      </c>
      <c r="D19" s="3">
        <f>D9/7.481/60/(3.14*(D7/2)^2/144)</f>
        <v>43.16193964806321</v>
      </c>
      <c r="E19" s="3">
        <f>E9/7.481/60/(3.14*(E7/2)^2/144)</f>
        <v>26.48464574515879</v>
      </c>
      <c r="F19" s="3">
        <f>F9/7.481/60/(3.14*(F7/2)^2/144)</f>
        <v>19.458107078075844</v>
      </c>
    </row>
    <row r="23" ht="12.75">
      <c r="B23" s="11" t="s">
        <v>39</v>
      </c>
    </row>
    <row r="24" spans="1:6" ht="12.75">
      <c r="A24" s="10" t="s">
        <v>5</v>
      </c>
      <c r="B24" s="1" t="s">
        <v>43</v>
      </c>
      <c r="C24" s="1" t="s">
        <v>41</v>
      </c>
      <c r="D24" s="1" t="s">
        <v>42</v>
      </c>
      <c r="E24" s="1" t="s">
        <v>70</v>
      </c>
      <c r="F24" s="1" t="s">
        <v>78</v>
      </c>
    </row>
    <row r="25" spans="1:6" ht="12.75">
      <c r="A25" t="s">
        <v>9</v>
      </c>
      <c r="B25" s="14">
        <v>272961</v>
      </c>
      <c r="C25" s="14">
        <v>60000</v>
      </c>
      <c r="D25" s="14">
        <v>250000</v>
      </c>
      <c r="E25" s="14">
        <v>505051</v>
      </c>
      <c r="F25" s="14">
        <v>25801</v>
      </c>
    </row>
    <row r="26" spans="1:6" ht="12.75">
      <c r="A26" t="s">
        <v>35</v>
      </c>
      <c r="B26" s="1">
        <v>445.8</v>
      </c>
      <c r="C26" s="1">
        <v>210</v>
      </c>
      <c r="D26" s="1">
        <v>210</v>
      </c>
      <c r="E26" s="1">
        <v>591</v>
      </c>
      <c r="F26" s="1">
        <v>210</v>
      </c>
    </row>
    <row r="27" spans="1:6" ht="12.75">
      <c r="A27" t="s">
        <v>8</v>
      </c>
      <c r="B27" s="1">
        <v>1</v>
      </c>
      <c r="C27" s="1">
        <v>1</v>
      </c>
      <c r="D27" s="1">
        <v>1</v>
      </c>
      <c r="E27" s="1">
        <v>0.65</v>
      </c>
      <c r="F27" s="1">
        <v>1</v>
      </c>
    </row>
    <row r="28" spans="1:6" ht="12.75">
      <c r="A28" t="s">
        <v>3</v>
      </c>
      <c r="B28" s="1">
        <v>1.3</v>
      </c>
      <c r="C28" s="1">
        <v>1.25</v>
      </c>
      <c r="D28" s="1">
        <v>1.25</v>
      </c>
      <c r="E28" s="1">
        <v>1.25</v>
      </c>
      <c r="F28" s="1">
        <v>1.25</v>
      </c>
    </row>
    <row r="29" spans="1:6" ht="12.75">
      <c r="A29" t="s">
        <v>6</v>
      </c>
      <c r="B29" s="1">
        <v>28.964</v>
      </c>
      <c r="C29" s="1">
        <v>23</v>
      </c>
      <c r="D29" s="1">
        <v>23</v>
      </c>
      <c r="E29" s="1">
        <v>23</v>
      </c>
      <c r="F29" s="1">
        <v>23</v>
      </c>
    </row>
    <row r="30" spans="1:6" ht="12.75">
      <c r="A30" t="s">
        <v>2</v>
      </c>
      <c r="B30" s="1">
        <v>1</v>
      </c>
      <c r="C30" s="1">
        <v>0.95</v>
      </c>
      <c r="D30" s="1">
        <v>0.95</v>
      </c>
      <c r="E30" s="1">
        <v>0.95</v>
      </c>
      <c r="F30" s="1">
        <v>0.95</v>
      </c>
    </row>
    <row r="31" spans="1:6" ht="12.75">
      <c r="A31" t="s">
        <v>32</v>
      </c>
      <c r="B31" s="1">
        <v>60</v>
      </c>
      <c r="C31" s="1">
        <v>160</v>
      </c>
      <c r="D31" s="1">
        <v>160</v>
      </c>
      <c r="E31" s="1">
        <v>160</v>
      </c>
      <c r="F31" s="1">
        <v>160</v>
      </c>
    </row>
    <row r="32" spans="1:6" ht="12.75">
      <c r="A32" s="10" t="s">
        <v>7</v>
      </c>
      <c r="B32" s="1"/>
      <c r="C32" s="1"/>
      <c r="D32" s="1"/>
      <c r="E32" s="1"/>
      <c r="F32" s="1"/>
    </row>
    <row r="33" spans="1:6" ht="12.75">
      <c r="A33" t="s">
        <v>33</v>
      </c>
      <c r="B33" s="1">
        <f>B31+459.7</f>
        <v>519.7</v>
      </c>
      <c r="C33" s="1">
        <f>C31+459.7</f>
        <v>619.7</v>
      </c>
      <c r="D33" s="1">
        <f>D31+459.7</f>
        <v>619.7</v>
      </c>
      <c r="E33" s="1">
        <f>E31+459.7</f>
        <v>619.7</v>
      </c>
      <c r="F33" s="1">
        <f>F31+459.7</f>
        <v>619.7</v>
      </c>
    </row>
    <row r="34" spans="1:6" ht="12.75">
      <c r="A34" t="s">
        <v>10</v>
      </c>
      <c r="B34" s="1">
        <f>B26*1.1+14.7</f>
        <v>505.08000000000004</v>
      </c>
      <c r="C34" s="1">
        <f>C26*1.1+14.7</f>
        <v>245.70000000000002</v>
      </c>
      <c r="D34" s="1">
        <f>D26*1.1+14.7</f>
        <v>245.70000000000002</v>
      </c>
      <c r="E34" s="1">
        <f>E26*1.1+14.7</f>
        <v>664.8000000000001</v>
      </c>
      <c r="F34" s="1">
        <f>F26*1.1+14.7</f>
        <v>245.70000000000002</v>
      </c>
    </row>
    <row r="35" spans="1:6" ht="12.75">
      <c r="A35" t="s">
        <v>13</v>
      </c>
      <c r="B35" s="15">
        <f>B25/(B36*B34*B27*SQRT(B29/(B30*B33)))</f>
        <v>6.604355229479472</v>
      </c>
      <c r="C35" s="15">
        <f>C25/(C36*C34*C27*SQRT(C29/(C30*C33)))</f>
        <v>3.614145224612304</v>
      </c>
      <c r="D35" s="15">
        <f>D25/(D36*D34*D27*SQRT(D29/(D30*D33)))</f>
        <v>15.058938435884599</v>
      </c>
      <c r="E35" s="15">
        <f>E25/(E36*E34*E27*SQRT(E29/(E30*E33)))</f>
        <v>17.297780169922852</v>
      </c>
      <c r="F35" s="15">
        <f>F25/(F36*F34*F27*SQRT(F29/(F30*F33)))</f>
        <v>1.5541426823370341</v>
      </c>
    </row>
    <row r="36" spans="1:6" ht="12.75">
      <c r="A36" t="s">
        <v>14</v>
      </c>
      <c r="B36" s="16">
        <f>519.47*SQRT(B28*(2/(B28+1))^((B28+1)/(B28-1)))</f>
        <v>346.6227735990905</v>
      </c>
      <c r="C36" s="16">
        <f>519.47*SQRT(C28*(2/(C28+1))^((C28+1)/(C28-1)))</f>
        <v>341.8449173712812</v>
      </c>
      <c r="D36" s="16">
        <f>519.47*SQRT(D28*(2/(D28+1))^((D28+1)/(D28-1)))</f>
        <v>341.8449173712812</v>
      </c>
      <c r="E36" s="16">
        <f>519.47*SQRT(E28*(2/(E28+1))^((E28+1)/(E28-1)))</f>
        <v>341.8449173712812</v>
      </c>
      <c r="F36" s="16">
        <f>519.47*SQRT(F28*(2/(F28+1))^((F28+1)/(F28-1)))</f>
        <v>341.8449173712812</v>
      </c>
    </row>
    <row r="37" spans="1:5" ht="12.75">
      <c r="A37" t="s">
        <v>4</v>
      </c>
      <c r="E37">
        <f>E25/E29*379.5*24/1000000</f>
        <v>200.00019600000002</v>
      </c>
    </row>
    <row r="38" ht="12.75">
      <c r="B38" s="11" t="s">
        <v>34</v>
      </c>
    </row>
    <row r="39" ht="12.75">
      <c r="A39" s="10" t="s">
        <v>5</v>
      </c>
    </row>
    <row r="40" spans="1:3" ht="12.75">
      <c r="A40" t="s">
        <v>17</v>
      </c>
      <c r="B40">
        <v>2333</v>
      </c>
      <c r="C40">
        <v>1100</v>
      </c>
    </row>
    <row r="41" spans="1:3" ht="12.75">
      <c r="A41" t="s">
        <v>35</v>
      </c>
      <c r="B41">
        <v>100</v>
      </c>
      <c r="C41">
        <v>97</v>
      </c>
    </row>
    <row r="42" spans="1:3" ht="12.75">
      <c r="A42" t="s">
        <v>8</v>
      </c>
      <c r="B42">
        <v>0.62</v>
      </c>
      <c r="C42">
        <v>0.62</v>
      </c>
    </row>
    <row r="43" spans="1:3" ht="12.75">
      <c r="A43" t="s">
        <v>37</v>
      </c>
      <c r="B43">
        <v>1</v>
      </c>
      <c r="C43">
        <v>0.662</v>
      </c>
    </row>
    <row r="44" spans="1:3" ht="12.75">
      <c r="A44" t="s">
        <v>38</v>
      </c>
      <c r="B44">
        <v>75</v>
      </c>
      <c r="C44">
        <v>85</v>
      </c>
    </row>
    <row r="45" ht="12.75">
      <c r="A45" s="10" t="s">
        <v>7</v>
      </c>
    </row>
    <row r="46" spans="1:3" ht="12.75">
      <c r="A46" t="s">
        <v>36</v>
      </c>
      <c r="B46">
        <f>B41*1.1+14.7</f>
        <v>124.70000000000002</v>
      </c>
      <c r="C46">
        <f>C41*1.1+14.7</f>
        <v>121.4</v>
      </c>
    </row>
    <row r="47" spans="1:3" ht="12.75">
      <c r="A47" t="s">
        <v>8</v>
      </c>
      <c r="B47">
        <v>0.62</v>
      </c>
      <c r="C47">
        <v>0.62</v>
      </c>
    </row>
    <row r="48" spans="1:3" ht="12.75">
      <c r="A48" t="s">
        <v>13</v>
      </c>
      <c r="B48" s="12">
        <f>B40/(38*B47*SQRT(B49/B50))</f>
        <v>14.04627795834087</v>
      </c>
      <c r="C48" s="3">
        <f>C40/(38*C47*SQRT(C49/C50))</f>
        <v>6.296449172939232</v>
      </c>
    </row>
    <row r="49" spans="1:3" ht="12.75">
      <c r="A49" t="s">
        <v>28</v>
      </c>
      <c r="B49">
        <f>B46-B44</f>
        <v>49.70000000000002</v>
      </c>
      <c r="C49">
        <f>C46-C44</f>
        <v>36.400000000000006</v>
      </c>
    </row>
    <row r="50" spans="1:3" ht="12.75">
      <c r="A50" t="s">
        <v>37</v>
      </c>
      <c r="B50">
        <f>B43</f>
        <v>1</v>
      </c>
      <c r="C50">
        <f>C43</f>
        <v>0.662</v>
      </c>
    </row>
    <row r="54" ht="12.75">
      <c r="A54" s="19" t="s">
        <v>79</v>
      </c>
    </row>
    <row r="55" spans="1:3" ht="12.75">
      <c r="A55" s="19" t="s">
        <v>5</v>
      </c>
      <c r="B55" t="s">
        <v>102</v>
      </c>
      <c r="C55" t="s">
        <v>103</v>
      </c>
    </row>
    <row r="56" spans="1:6" ht="12.75">
      <c r="A56" t="s">
        <v>80</v>
      </c>
      <c r="B56" s="14">
        <v>52.43</v>
      </c>
      <c r="C56" s="14">
        <v>31.9</v>
      </c>
      <c r="D56" s="14">
        <v>539</v>
      </c>
      <c r="E56" s="14">
        <v>338</v>
      </c>
      <c r="F56" s="14">
        <v>239</v>
      </c>
    </row>
    <row r="57" spans="1:6" ht="12.75">
      <c r="A57" t="s">
        <v>81</v>
      </c>
      <c r="B57" s="14">
        <v>3</v>
      </c>
      <c r="C57" s="14">
        <v>3</v>
      </c>
      <c r="D57" s="14">
        <v>4</v>
      </c>
      <c r="E57" s="14">
        <v>3</v>
      </c>
      <c r="F57" s="14">
        <v>8</v>
      </c>
    </row>
    <row r="58" spans="2:6" ht="12.75">
      <c r="B58" s="14"/>
      <c r="C58" s="14"/>
      <c r="D58" s="14"/>
      <c r="E58" s="14"/>
      <c r="F58" s="14"/>
    </row>
    <row r="59" spans="1:6" ht="12.75">
      <c r="A59" s="19" t="s">
        <v>7</v>
      </c>
      <c r="B59" s="14"/>
      <c r="C59" s="14"/>
      <c r="D59" s="14"/>
      <c r="E59" s="14"/>
      <c r="F59" s="14"/>
    </row>
    <row r="60" spans="1:6" ht="12.75">
      <c r="A60" t="s">
        <v>0</v>
      </c>
      <c r="B60" s="14">
        <f>(29.9*B57^2/B56)^2</f>
        <v>26.343148502518215</v>
      </c>
      <c r="C60" s="14">
        <f>(29.9*C57^2/C56)^2</f>
        <v>71.16165328563987</v>
      </c>
      <c r="D60" s="14">
        <f>(29.9*D57^2/D56)^2</f>
        <v>0.7877797474192916</v>
      </c>
      <c r="E60" s="14">
        <f>(29.9*E57^2/E56)^2</f>
        <v>0.633860946745562</v>
      </c>
      <c r="F60" s="14">
        <f>(29.9*F57^2/F56)^2</f>
        <v>64.10715778785384</v>
      </c>
    </row>
    <row r="61" ht="12.75">
      <c r="B61" s="14"/>
    </row>
    <row r="62" spans="1:2" ht="12.75">
      <c r="A62" s="19" t="s">
        <v>82</v>
      </c>
      <c r="B62" s="14"/>
    </row>
    <row r="63" spans="1:2" ht="12.75">
      <c r="A63" s="19" t="s">
        <v>5</v>
      </c>
      <c r="B63" s="14"/>
    </row>
    <row r="64" spans="1:2" ht="12.75">
      <c r="A64" t="s">
        <v>83</v>
      </c>
      <c r="B64" s="14">
        <v>100</v>
      </c>
    </row>
    <row r="65" spans="1:2" ht="12.75">
      <c r="A65" t="s">
        <v>81</v>
      </c>
      <c r="B65" s="14">
        <v>8</v>
      </c>
    </row>
    <row r="66" spans="1:2" ht="12.75">
      <c r="A66" s="19" t="s">
        <v>7</v>
      </c>
      <c r="B66" s="14"/>
    </row>
    <row r="67" spans="1:2" ht="12.75">
      <c r="A67" t="s">
        <v>21</v>
      </c>
      <c r="B67" s="14">
        <f>29.9*B65^2/SQRT(B64)</f>
        <v>191.35999999999999</v>
      </c>
    </row>
    <row r="70" ht="12.75">
      <c r="A70" s="11" t="s">
        <v>85</v>
      </c>
    </row>
    <row r="71" ht="12.75">
      <c r="A71" s="11" t="s">
        <v>86</v>
      </c>
    </row>
    <row r="72" ht="12.75">
      <c r="A72" s="21" t="s">
        <v>5</v>
      </c>
    </row>
    <row r="73" spans="1:4" ht="12.75">
      <c r="A73" t="s">
        <v>87</v>
      </c>
      <c r="B73">
        <v>20</v>
      </c>
      <c r="C73">
        <v>0.79</v>
      </c>
      <c r="D73">
        <v>0.63</v>
      </c>
    </row>
    <row r="74" spans="1:4" ht="12.75">
      <c r="A74" t="s">
        <v>88</v>
      </c>
      <c r="B74">
        <v>8</v>
      </c>
      <c r="C74">
        <v>4</v>
      </c>
      <c r="D74">
        <v>3</v>
      </c>
    </row>
    <row r="75" spans="1:4" ht="12.75">
      <c r="A75" t="s">
        <v>90</v>
      </c>
      <c r="B75">
        <v>4</v>
      </c>
      <c r="C75">
        <v>8</v>
      </c>
      <c r="D75">
        <v>8</v>
      </c>
    </row>
    <row r="76" ht="12.75">
      <c r="A76" s="21" t="s">
        <v>7</v>
      </c>
    </row>
    <row r="77" spans="1:4" ht="12.75">
      <c r="A77" t="s">
        <v>89</v>
      </c>
      <c r="B77">
        <f>B73*(B75/B74)^4</f>
        <v>1.25</v>
      </c>
      <c r="C77">
        <f>C73*(C75/C74)^4</f>
        <v>12.64</v>
      </c>
      <c r="D77" s="3">
        <f>D73*(D75/D74)^4</f>
        <v>31.857777777777777</v>
      </c>
    </row>
    <row r="81" spans="1:5" ht="12.75">
      <c r="A81" s="11" t="s">
        <v>91</v>
      </c>
      <c r="D81" s="58" t="s">
        <v>99</v>
      </c>
      <c r="E81" s="58"/>
    </row>
    <row r="82" spans="1:6" ht="12.75">
      <c r="A82" s="8" t="s">
        <v>5</v>
      </c>
      <c r="D82" s="1" t="s">
        <v>96</v>
      </c>
      <c r="E82" s="1" t="s">
        <v>96</v>
      </c>
      <c r="F82" t="s">
        <v>105</v>
      </c>
    </row>
    <row r="83" spans="4:7" ht="18" customHeight="1">
      <c r="D83" s="1" t="s">
        <v>97</v>
      </c>
      <c r="E83" s="1" t="s">
        <v>98</v>
      </c>
      <c r="F83" t="s">
        <v>75</v>
      </c>
      <c r="G83" t="s">
        <v>104</v>
      </c>
    </row>
    <row r="84" spans="1:8" ht="12.75">
      <c r="A84" t="s">
        <v>15</v>
      </c>
      <c r="B84">
        <v>670</v>
      </c>
      <c r="C84">
        <v>670</v>
      </c>
      <c r="D84">
        <v>215</v>
      </c>
      <c r="E84">
        <v>670</v>
      </c>
      <c r="F84">
        <v>50.5</v>
      </c>
      <c r="G84">
        <v>50.5</v>
      </c>
      <c r="H84">
        <v>50.5</v>
      </c>
    </row>
    <row r="85" spans="1:8" ht="12.75">
      <c r="A85" t="s">
        <v>40</v>
      </c>
      <c r="B85">
        <v>230</v>
      </c>
      <c r="C85">
        <v>230</v>
      </c>
      <c r="D85">
        <v>180</v>
      </c>
      <c r="E85">
        <v>230</v>
      </c>
      <c r="F85">
        <v>45</v>
      </c>
      <c r="G85">
        <v>45</v>
      </c>
      <c r="H85">
        <v>45</v>
      </c>
    </row>
    <row r="86" spans="1:8" ht="12.75">
      <c r="A86" t="s">
        <v>27</v>
      </c>
      <c r="B86">
        <v>35.3</v>
      </c>
      <c r="C86">
        <v>35.3</v>
      </c>
      <c r="D86">
        <v>33.3</v>
      </c>
      <c r="E86">
        <v>33.3</v>
      </c>
      <c r="F86">
        <v>26</v>
      </c>
      <c r="G86">
        <v>27.7</v>
      </c>
      <c r="H86">
        <v>27.7</v>
      </c>
    </row>
    <row r="87" spans="1:8" ht="12.75">
      <c r="A87" t="s">
        <v>55</v>
      </c>
      <c r="B87">
        <v>13900</v>
      </c>
      <c r="C87">
        <v>7580</v>
      </c>
      <c r="D87">
        <v>8370</v>
      </c>
      <c r="E87">
        <v>8370</v>
      </c>
      <c r="F87">
        <v>2650</v>
      </c>
      <c r="G87">
        <v>1880</v>
      </c>
      <c r="H87">
        <v>1880</v>
      </c>
    </row>
    <row r="88" spans="1:8" ht="12.75">
      <c r="A88" t="s">
        <v>92</v>
      </c>
      <c r="B88">
        <v>567</v>
      </c>
      <c r="C88">
        <v>191</v>
      </c>
      <c r="D88">
        <v>251</v>
      </c>
      <c r="E88">
        <v>251</v>
      </c>
      <c r="F88">
        <v>102</v>
      </c>
      <c r="G88">
        <v>102</v>
      </c>
      <c r="H88">
        <v>102</v>
      </c>
    </row>
    <row r="89" spans="1:8" ht="12.75">
      <c r="A89" t="s">
        <v>20</v>
      </c>
      <c r="B89">
        <v>0.8</v>
      </c>
      <c r="C89">
        <v>0.8</v>
      </c>
      <c r="D89">
        <v>0.8</v>
      </c>
      <c r="E89">
        <v>0.8</v>
      </c>
      <c r="F89">
        <v>0.64</v>
      </c>
      <c r="G89">
        <v>0.64</v>
      </c>
      <c r="H89">
        <v>0.64</v>
      </c>
    </row>
    <row r="90" spans="1:8" ht="12.75">
      <c r="A90" t="s">
        <v>12</v>
      </c>
      <c r="B90">
        <v>520</v>
      </c>
      <c r="C90">
        <v>520</v>
      </c>
      <c r="D90">
        <v>520</v>
      </c>
      <c r="E90">
        <v>520</v>
      </c>
      <c r="F90">
        <v>520</v>
      </c>
      <c r="G90">
        <v>520</v>
      </c>
      <c r="H90">
        <v>520</v>
      </c>
    </row>
    <row r="91" ht="12.75">
      <c r="A91" s="8" t="s">
        <v>7</v>
      </c>
    </row>
    <row r="92" spans="1:8" ht="12.75">
      <c r="A92" t="s">
        <v>95</v>
      </c>
      <c r="B92" s="3">
        <f>(3417/B86)*SQRT((B84-B85)/B84)</f>
        <v>78.4439059473552</v>
      </c>
      <c r="C92" s="3">
        <f>(3417/C86)*SQRT((C84-C85)/C84)</f>
        <v>78.4439059473552</v>
      </c>
      <c r="D92" s="3"/>
      <c r="E92" s="3">
        <f>(3417/E86)*SQRT((E84-E85)/E84)</f>
        <v>83.15525164989906</v>
      </c>
      <c r="F92" s="3">
        <f>(3417/F86)*SQRT((F84-F85)/F84)</f>
        <v>43.37178402803423</v>
      </c>
      <c r="G92" s="3">
        <f>(3417/G86)*SQRT((G84-G85)/G84)</f>
        <v>40.709977788046565</v>
      </c>
      <c r="H92" s="3">
        <f>(3417/H86)*SQRT((H84-H85)/H84)</f>
        <v>40.709977788046565</v>
      </c>
    </row>
    <row r="93" spans="1:8" ht="12.75">
      <c r="A93" t="s">
        <v>94</v>
      </c>
      <c r="B93" s="3">
        <f>(3417/B86)*SQRT((B84-B85)/B84)*PI()/180</f>
        <v>1.36910443690611</v>
      </c>
      <c r="C93" s="3">
        <f>(3417/C86)*SQRT((C84-C85)/C84)*PI()/180</f>
        <v>1.36910443690611</v>
      </c>
      <c r="D93" s="3"/>
      <c r="E93" s="3">
        <f>(3417/E86)*SQRT((E84-E85)/E84)*PI()/180</f>
        <v>1.4513329316151855</v>
      </c>
      <c r="F93" s="3">
        <f>(3417/F86)*SQRT((F84-F85)/F84)*PI()/180</f>
        <v>0.7569804337530859</v>
      </c>
      <c r="G93" s="3">
        <f>(3417/G86)*SQRT((G84-G85)/G84)*PI()/180</f>
        <v>0.7105231508151708</v>
      </c>
      <c r="H93" s="3">
        <f>(3417/H86)*SQRT((H84-H85)/H84)*PI()/180</f>
        <v>0.7105231508151708</v>
      </c>
    </row>
    <row r="94" spans="1:8" ht="12.75">
      <c r="A94" t="s">
        <v>93</v>
      </c>
      <c r="B94" s="9">
        <f>24*B87*B84*SIN(B93)*SQRT(520/(B89*B90))/1000000</f>
        <v>244.82842351641608</v>
      </c>
      <c r="C94" s="9">
        <f>24*C87*C84*SIN(C93)*SQRT(520/(C89*C90))/1000000</f>
        <v>133.51075181686574</v>
      </c>
      <c r="D94" s="9"/>
      <c r="E94" s="9">
        <f>24*E87*E84*SIN(E93)*SQRT(520/(E89*E90))/1000000</f>
        <v>149.4032662122575</v>
      </c>
      <c r="F94" s="9">
        <f>24*F87*F84*SIN(F93)*SQRT(520/(F89*F90))/1000000</f>
        <v>2.757047731332826</v>
      </c>
      <c r="G94" s="9">
        <f>24*G87*G84*SIN(G93)*SQRT(520/(G89*G90))/1000000</f>
        <v>1.8576826806430813</v>
      </c>
      <c r="H94" s="9">
        <f>24*H87*H84*SIN(H93)*SQRT(520/(H89*H90))/1000000</f>
        <v>1.8576826806430813</v>
      </c>
    </row>
    <row r="95" spans="1:5" ht="12.75">
      <c r="A95" t="s">
        <v>17</v>
      </c>
      <c r="B95" s="3">
        <f>B88*SQRT((B84-B85)/1)</f>
        <v>11893.492338249518</v>
      </c>
      <c r="C95" s="3">
        <f>C88*SQRT((C84-C85)/1)</f>
        <v>4006.449800009979</v>
      </c>
      <c r="D95" s="3">
        <f>D88*SQRT((D84-D85)/1)</f>
        <v>1484.9360255580036</v>
      </c>
      <c r="E95" s="3"/>
    </row>
    <row r="96" spans="1:5" ht="12.75">
      <c r="A96" t="s">
        <v>16</v>
      </c>
      <c r="B96" s="9">
        <f>B95*1440/42</f>
        <v>407776.88016855484</v>
      </c>
      <c r="C96" s="9">
        <f>C95*1440/42</f>
        <v>137363.99314319927</v>
      </c>
      <c r="D96" s="9">
        <f>D95*1440/42</f>
        <v>50912.09230484584</v>
      </c>
      <c r="E96" s="9"/>
    </row>
    <row r="97" ht="12.75">
      <c r="C97" t="s">
        <v>31</v>
      </c>
    </row>
    <row r="98" spans="1:8" ht="12.75">
      <c r="A98" t="s">
        <v>9</v>
      </c>
      <c r="E98">
        <f>28.964*E89*E94*1000000/(379.5*24)</f>
        <v>380089.25802124076</v>
      </c>
      <c r="F98">
        <f>28.964*F89*F94*1000000/(379.5*24)</f>
        <v>5611.252032697336</v>
      </c>
      <c r="G98">
        <f>28.964*G89*G94*1000000/(379.5*24)</f>
        <v>3780.8288914990753</v>
      </c>
      <c r="H98">
        <f>28.964*H89*H94*1000000/(379.5*24)</f>
        <v>3780.8288914990753</v>
      </c>
    </row>
    <row r="100" ht="12.75">
      <c r="B100" t="s">
        <v>31</v>
      </c>
    </row>
  </sheetData>
  <mergeCells count="1">
    <mergeCell ref="D81:E81"/>
  </mergeCells>
  <printOptions/>
  <pageMargins left="0.31" right="0.44" top="0.24" bottom="0.71" header="0.06" footer="0.5"/>
  <pageSetup fitToHeight="1" fitToWidth="1" horizontalDpi="600" verticalDpi="600" orientation="portrait" scale="98" r:id="rId1"/>
  <headerFooter alignWithMargins="0">
    <oddFooter>&amp;L&amp;F - &amp;A&amp;CRev 0, July 30, 2006&amp;R&amp;D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G29"/>
  <sheetViews>
    <sheetView workbookViewId="0" topLeftCell="A1">
      <selection activeCell="J40" sqref="J40"/>
    </sheetView>
  </sheetViews>
  <sheetFormatPr defaultColWidth="9.140625" defaultRowHeight="12.75"/>
  <cols>
    <col min="1" max="1" width="19.8515625" style="0" customWidth="1"/>
    <col min="3" max="3" width="11.7109375" style="0" customWidth="1"/>
    <col min="7" max="7" width="10.28125" style="0" customWidth="1"/>
    <col min="8" max="8" width="10.00390625" style="0" customWidth="1"/>
    <col min="9" max="9" width="10.8515625" style="0" customWidth="1"/>
  </cols>
  <sheetData>
    <row r="3" ht="12.75">
      <c r="A3" s="13" t="s">
        <v>5</v>
      </c>
    </row>
    <row r="4" spans="1:7" ht="12.75">
      <c r="A4" t="s">
        <v>19</v>
      </c>
      <c r="B4">
        <v>3000</v>
      </c>
      <c r="C4">
        <v>6</v>
      </c>
      <c r="D4">
        <v>30</v>
      </c>
      <c r="E4">
        <v>14</v>
      </c>
      <c r="F4">
        <v>25</v>
      </c>
      <c r="G4">
        <v>40</v>
      </c>
    </row>
    <row r="5" spans="1:7" ht="12.75">
      <c r="A5" t="s">
        <v>45</v>
      </c>
      <c r="B5">
        <v>625000</v>
      </c>
      <c r="C5">
        <v>675</v>
      </c>
      <c r="D5">
        <v>2000</v>
      </c>
      <c r="E5">
        <v>700</v>
      </c>
      <c r="F5">
        <v>1400</v>
      </c>
      <c r="G5">
        <v>1400</v>
      </c>
    </row>
    <row r="6" spans="1:7" ht="12.75">
      <c r="A6" t="s">
        <v>15</v>
      </c>
      <c r="B6">
        <v>414.7</v>
      </c>
      <c r="C6">
        <v>415</v>
      </c>
      <c r="D6">
        <v>415</v>
      </c>
      <c r="E6">
        <v>75</v>
      </c>
      <c r="F6">
        <v>75</v>
      </c>
      <c r="G6">
        <v>75</v>
      </c>
    </row>
    <row r="7" spans="1:7" ht="12.75">
      <c r="A7" t="s">
        <v>46</v>
      </c>
      <c r="B7">
        <v>40</v>
      </c>
      <c r="C7">
        <v>340</v>
      </c>
      <c r="D7">
        <v>340</v>
      </c>
      <c r="E7">
        <v>10</v>
      </c>
      <c r="F7">
        <v>10</v>
      </c>
      <c r="G7">
        <v>30</v>
      </c>
    </row>
    <row r="8" spans="1:7" ht="12.75">
      <c r="A8" t="s">
        <v>49</v>
      </c>
      <c r="B8" s="2">
        <v>1.5</v>
      </c>
      <c r="C8" s="2">
        <v>1.12</v>
      </c>
      <c r="D8" s="2">
        <v>1.12</v>
      </c>
      <c r="E8" s="2">
        <v>1.12</v>
      </c>
      <c r="F8" s="2">
        <v>1.12</v>
      </c>
      <c r="G8" s="2">
        <v>1.12</v>
      </c>
    </row>
    <row r="9" spans="1:7" ht="12.75">
      <c r="A9" t="s">
        <v>50</v>
      </c>
      <c r="B9" s="2">
        <v>32.4</v>
      </c>
      <c r="C9" s="2">
        <v>32.4</v>
      </c>
      <c r="D9" s="2">
        <v>32.4</v>
      </c>
      <c r="E9" s="2">
        <v>50</v>
      </c>
      <c r="F9" s="2">
        <v>50</v>
      </c>
      <c r="G9" s="2">
        <v>50</v>
      </c>
    </row>
    <row r="10" spans="1:7" ht="12.75">
      <c r="A10" t="s">
        <v>11</v>
      </c>
      <c r="B10">
        <v>100</v>
      </c>
      <c r="C10">
        <v>125</v>
      </c>
      <c r="D10">
        <v>125</v>
      </c>
      <c r="E10">
        <v>150</v>
      </c>
      <c r="F10">
        <v>150</v>
      </c>
      <c r="G10">
        <v>150</v>
      </c>
    </row>
    <row r="11" spans="1:7" ht="12.75">
      <c r="A11" t="s">
        <v>27</v>
      </c>
      <c r="B11" s="1">
        <v>24.7</v>
      </c>
      <c r="C11" s="1">
        <v>32.2</v>
      </c>
      <c r="D11" s="1">
        <v>32.2</v>
      </c>
      <c r="E11" s="1">
        <v>28.1</v>
      </c>
      <c r="F11" s="1">
        <v>28.1</v>
      </c>
      <c r="G11" s="1">
        <v>28.1</v>
      </c>
    </row>
    <row r="12" spans="1:7" ht="12.75">
      <c r="A12" t="s">
        <v>51</v>
      </c>
      <c r="B12">
        <v>0.48</v>
      </c>
      <c r="C12">
        <v>0.32</v>
      </c>
      <c r="D12">
        <v>0.32</v>
      </c>
      <c r="E12">
        <v>0.6</v>
      </c>
      <c r="F12">
        <v>0.6</v>
      </c>
      <c r="G12">
        <v>0.6</v>
      </c>
    </row>
    <row r="13" spans="1:7" ht="12.75">
      <c r="A13" t="s">
        <v>52</v>
      </c>
      <c r="B13">
        <v>40</v>
      </c>
      <c r="C13">
        <v>210</v>
      </c>
      <c r="D13">
        <v>210</v>
      </c>
      <c r="E13">
        <v>10</v>
      </c>
      <c r="F13">
        <v>10</v>
      </c>
      <c r="G13">
        <v>20</v>
      </c>
    </row>
    <row r="14" ht="12.75">
      <c r="A14" s="13" t="s">
        <v>7</v>
      </c>
    </row>
    <row r="15" spans="1:7" ht="12.75">
      <c r="A15" s="17" t="s">
        <v>53</v>
      </c>
      <c r="B15" s="3">
        <v>0.4975026911544537</v>
      </c>
      <c r="C15" s="3">
        <v>0.3581964590806679</v>
      </c>
      <c r="D15" s="3">
        <v>0.24853353736291764</v>
      </c>
      <c r="E15" s="3">
        <v>0.5886839818480255</v>
      </c>
      <c r="F15" s="3">
        <v>0.6158230405171419</v>
      </c>
      <c r="G15" s="3">
        <v>0.5004631855439207</v>
      </c>
    </row>
    <row r="16" spans="1:7" ht="15.75">
      <c r="A16" t="s">
        <v>47</v>
      </c>
      <c r="B16" s="3">
        <v>580.9475019311126</v>
      </c>
      <c r="C16" s="3">
        <v>0.43817804600413296</v>
      </c>
      <c r="D16" s="3">
        <v>2.1908902300206647</v>
      </c>
      <c r="E16" s="3">
        <v>4.685296148590824</v>
      </c>
      <c r="F16" s="3">
        <v>8.366600265340757</v>
      </c>
      <c r="G16" s="3">
        <v>9.465727652959385</v>
      </c>
    </row>
    <row r="17" spans="1:7" ht="12.75">
      <c r="A17" t="s">
        <v>55</v>
      </c>
      <c r="B17" s="3">
        <v>2427.481072536162</v>
      </c>
      <c r="C17" s="3">
        <v>1.8241642442757915</v>
      </c>
      <c r="D17" s="3">
        <v>5.404931094150493</v>
      </c>
      <c r="E17" s="3">
        <v>18.985543525535647</v>
      </c>
      <c r="F17" s="3">
        <v>37.971087051071294</v>
      </c>
      <c r="G17" s="3">
        <v>27.270291332952866</v>
      </c>
    </row>
    <row r="18" spans="1:7" ht="15.75">
      <c r="A18" t="s">
        <v>48</v>
      </c>
      <c r="B18" s="3">
        <v>98.27858593263815</v>
      </c>
      <c r="C18" s="3">
        <v>0.05665106348682582</v>
      </c>
      <c r="D18" s="3">
        <v>0.16785500292392835</v>
      </c>
      <c r="E18" s="3">
        <v>0.6756421183464643</v>
      </c>
      <c r="F18" s="3">
        <v>1.3512842366929285</v>
      </c>
      <c r="G18" s="3">
        <v>0.9704730011726997</v>
      </c>
    </row>
    <row r="19" spans="1:7" ht="12.75">
      <c r="A19" t="s">
        <v>54</v>
      </c>
      <c r="B19" s="3">
        <v>1005.2546100383511</v>
      </c>
      <c r="C19" s="3">
        <v>0.6531744245280656</v>
      </c>
      <c r="D19" s="3">
        <v>3.1135437074868633</v>
      </c>
      <c r="E19" s="3">
        <v>8.577501227099662</v>
      </c>
      <c r="F19" s="3">
        <v>15.548615203253897</v>
      </c>
      <c r="G19" s="3">
        <v>16.697921046611338</v>
      </c>
    </row>
    <row r="20" spans="1:7" ht="12.75">
      <c r="A20" t="s">
        <v>1</v>
      </c>
      <c r="B20">
        <v>42.96462281823536</v>
      </c>
      <c r="C20">
        <v>90</v>
      </c>
      <c r="D20">
        <v>90</v>
      </c>
      <c r="E20">
        <v>44.40256177924442</v>
      </c>
      <c r="F20">
        <v>44.40256177924442</v>
      </c>
      <c r="G20">
        <v>76.90749298786727</v>
      </c>
    </row>
    <row r="21" spans="2:3" ht="12.75">
      <c r="B21" s="5"/>
      <c r="C21" s="5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</sheetData>
  <printOptions/>
  <pageMargins left="0.31" right="0.44" top="0.24" bottom="0.71" header="0.06" footer="0.5"/>
  <pageSetup fitToHeight="1" fitToWidth="1" horizontalDpi="600" verticalDpi="600" orientation="portrait" r:id="rId2"/>
  <headerFooter alignWithMargins="0">
    <oddFooter>&amp;L&amp;F - &amp;A&amp;CRev 0, July 30, 2006&amp;R&amp;D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12"/>
  <sheetViews>
    <sheetView workbookViewId="0" topLeftCell="A1">
      <selection activeCell="J40" sqref="J40"/>
    </sheetView>
  </sheetViews>
  <sheetFormatPr defaultColWidth="9.140625" defaultRowHeight="12.75"/>
  <cols>
    <col min="1" max="1" width="19.8515625" style="0" customWidth="1"/>
    <col min="3" max="3" width="11.7109375" style="0" customWidth="1"/>
    <col min="7" max="7" width="10.28125" style="0" customWidth="1"/>
    <col min="8" max="8" width="10.00390625" style="0" customWidth="1"/>
    <col min="9" max="9" width="10.8515625" style="0" customWidth="1"/>
  </cols>
  <sheetData>
    <row r="1" spans="1:3" ht="12.75">
      <c r="A1" s="8" t="s">
        <v>5</v>
      </c>
      <c r="B1" t="s">
        <v>108</v>
      </c>
      <c r="C1" t="s">
        <v>109</v>
      </c>
    </row>
    <row r="2" spans="1:4" ht="12.75">
      <c r="A2" t="s">
        <v>106</v>
      </c>
      <c r="B2">
        <v>50.5</v>
      </c>
      <c r="C2">
        <v>50.5</v>
      </c>
      <c r="D2">
        <v>50.5</v>
      </c>
    </row>
    <row r="3" spans="1:6" ht="12" customHeight="1">
      <c r="A3" t="s">
        <v>28</v>
      </c>
      <c r="B3" s="8">
        <v>5.8</v>
      </c>
      <c r="C3" s="8">
        <v>5.8</v>
      </c>
      <c r="D3" s="8">
        <v>5.8</v>
      </c>
      <c r="E3" s="18"/>
      <c r="F3" s="18"/>
    </row>
    <row r="4" spans="1:4" ht="12.75">
      <c r="A4" t="s">
        <v>37</v>
      </c>
      <c r="B4">
        <v>0.64</v>
      </c>
      <c r="C4">
        <v>0.64</v>
      </c>
      <c r="D4">
        <v>0.64</v>
      </c>
    </row>
    <row r="5" spans="1:4" ht="12.75">
      <c r="A5" t="s">
        <v>11</v>
      </c>
      <c r="B5">
        <v>60</v>
      </c>
      <c r="C5">
        <v>60</v>
      </c>
      <c r="D5">
        <v>60</v>
      </c>
    </row>
    <row r="6" spans="1:4" ht="12.75">
      <c r="A6" t="s">
        <v>92</v>
      </c>
      <c r="B6">
        <v>103</v>
      </c>
      <c r="C6">
        <v>111</v>
      </c>
      <c r="D6">
        <v>11.1</v>
      </c>
    </row>
    <row r="7" ht="12.75">
      <c r="A7" s="8" t="s">
        <v>7</v>
      </c>
    </row>
    <row r="8" spans="1:4" ht="12.75">
      <c r="A8" t="s">
        <v>40</v>
      </c>
      <c r="B8">
        <f>B2-B3</f>
        <v>44.7</v>
      </c>
      <c r="C8">
        <f>C2-C3</f>
        <v>44.7</v>
      </c>
      <c r="D8">
        <f>D2-D3</f>
        <v>44.7</v>
      </c>
    </row>
    <row r="9" spans="1:4" ht="12.75">
      <c r="A9" t="s">
        <v>12</v>
      </c>
      <c r="B9">
        <f>B5+459.7</f>
        <v>519.7</v>
      </c>
      <c r="C9">
        <f>C5+459.7</f>
        <v>519.7</v>
      </c>
      <c r="D9">
        <f>D5+459.7</f>
        <v>519.7</v>
      </c>
    </row>
    <row r="10" spans="1:8" ht="12.75">
      <c r="A10" t="s">
        <v>107</v>
      </c>
      <c r="B10" s="5">
        <f>963*B6*SQRT((B3*(B2+B8)/(B4*B9)))</f>
        <v>127799.64204344265</v>
      </c>
      <c r="C10" s="5">
        <f>963*C6*SQRT((C3*(C2+C8)/(C4*C9)))</f>
        <v>137725.8278332246</v>
      </c>
      <c r="D10" s="5">
        <f>963*D6*SQRT((D3*(D2+D8)/(D4*D9)))</f>
        <v>13772.58278332246</v>
      </c>
      <c r="E10" s="5"/>
      <c r="F10" s="5"/>
      <c r="G10" s="5"/>
      <c r="H10" s="5"/>
    </row>
    <row r="11" spans="1:4" ht="12.75">
      <c r="A11" t="s">
        <v>9</v>
      </c>
      <c r="B11">
        <f>B10/379.5*28.964*B4</f>
        <v>6242.468649732846</v>
      </c>
      <c r="C11">
        <f>C10/379.5*28.964*C4</f>
        <v>6727.320583692677</v>
      </c>
      <c r="D11">
        <f>D10/379.5*28.964*D4</f>
        <v>672.7320583692677</v>
      </c>
    </row>
    <row r="12" ht="16.5" customHeight="1">
      <c r="G12" s="1"/>
    </row>
    <row r="13" ht="16.5" customHeight="1"/>
  </sheetData>
  <printOptions/>
  <pageMargins left="0.31" right="0.44" top="0.24" bottom="0.71" header="0.06" footer="0.5"/>
  <pageSetup fitToHeight="1" fitToWidth="1" horizontalDpi="600" verticalDpi="600" orientation="portrait" r:id="rId2"/>
  <headerFooter alignWithMargins="0">
    <oddFooter>&amp;L&amp;F - &amp;A&amp;CRev 0, July 30, 2006&amp;R&amp;D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6:N28"/>
  <sheetViews>
    <sheetView workbookViewId="0" topLeftCell="A1">
      <selection activeCell="J40" sqref="J40"/>
    </sheetView>
  </sheetViews>
  <sheetFormatPr defaultColWidth="9.140625" defaultRowHeight="12.75"/>
  <cols>
    <col min="1" max="1" width="19.8515625" style="0" customWidth="1"/>
    <col min="3" max="3" width="11.7109375" style="0" customWidth="1"/>
    <col min="7" max="7" width="10.28125" style="0" customWidth="1"/>
    <col min="8" max="8" width="10.00390625" style="0" customWidth="1"/>
    <col min="9" max="9" width="10.8515625" style="0" customWidth="1"/>
  </cols>
  <sheetData>
    <row r="6" spans="1:9" ht="12.75">
      <c r="A6" t="s">
        <v>22</v>
      </c>
      <c r="B6" s="1"/>
      <c r="C6" t="s">
        <v>101</v>
      </c>
      <c r="I6" s="1"/>
    </row>
    <row r="7" ht="12.75">
      <c r="C7" t="s">
        <v>23</v>
      </c>
    </row>
    <row r="8" spans="1:13" ht="12.75">
      <c r="A8" t="s">
        <v>100</v>
      </c>
      <c r="B8">
        <v>1.5</v>
      </c>
      <c r="E8" s="18"/>
      <c r="F8" s="18"/>
      <c r="L8" s="18"/>
      <c r="M8" s="18"/>
    </row>
    <row r="9" spans="1:7" ht="12.75">
      <c r="A9" t="s">
        <v>24</v>
      </c>
      <c r="B9">
        <v>55</v>
      </c>
      <c r="C9">
        <v>55</v>
      </c>
      <c r="D9">
        <v>55</v>
      </c>
      <c r="E9">
        <v>55</v>
      </c>
      <c r="F9">
        <v>55</v>
      </c>
      <c r="G9">
        <v>55</v>
      </c>
    </row>
    <row r="10" spans="1:7" ht="12.75">
      <c r="A10" t="s">
        <v>25</v>
      </c>
      <c r="B10">
        <v>57.7</v>
      </c>
      <c r="C10">
        <v>43.1</v>
      </c>
      <c r="D10">
        <v>30.7</v>
      </c>
      <c r="E10">
        <v>18</v>
      </c>
      <c r="F10">
        <v>6.35</v>
      </c>
      <c r="G10">
        <v>27.5</v>
      </c>
    </row>
    <row r="11" spans="1:7" ht="12.75">
      <c r="A11" t="s">
        <v>26</v>
      </c>
      <c r="B11">
        <v>200</v>
      </c>
      <c r="C11">
        <v>200</v>
      </c>
      <c r="D11">
        <v>200</v>
      </c>
      <c r="E11">
        <v>200</v>
      </c>
      <c r="F11">
        <v>200</v>
      </c>
      <c r="G11">
        <v>200</v>
      </c>
    </row>
    <row r="12" spans="1:7" ht="12.75">
      <c r="A12" t="s">
        <v>27</v>
      </c>
      <c r="B12">
        <v>36.2</v>
      </c>
      <c r="C12">
        <v>36.2</v>
      </c>
      <c r="D12">
        <v>36.2</v>
      </c>
      <c r="E12">
        <v>36.2</v>
      </c>
      <c r="F12">
        <v>36.2</v>
      </c>
      <c r="G12">
        <v>36.2</v>
      </c>
    </row>
    <row r="13" spans="1:7" ht="12.75">
      <c r="A13" t="s">
        <v>28</v>
      </c>
      <c r="B13">
        <v>3</v>
      </c>
      <c r="C13">
        <v>5</v>
      </c>
      <c r="D13">
        <v>11</v>
      </c>
      <c r="E13">
        <v>15</v>
      </c>
      <c r="F13">
        <v>15</v>
      </c>
      <c r="G13">
        <v>15</v>
      </c>
    </row>
    <row r="14" spans="1:7" ht="12.75">
      <c r="A14" t="s">
        <v>29</v>
      </c>
      <c r="B14">
        <v>100</v>
      </c>
      <c r="C14">
        <v>70</v>
      </c>
      <c r="D14">
        <v>50</v>
      </c>
      <c r="E14">
        <v>30</v>
      </c>
      <c r="F14">
        <v>10</v>
      </c>
      <c r="G14">
        <v>45</v>
      </c>
    </row>
    <row r="15" spans="1:14" ht="12.75">
      <c r="A15" t="s">
        <v>30</v>
      </c>
      <c r="B15" s="5">
        <f aca="true" t="shared" si="0" ref="B15:G15">(B10*B9/(1+0.00065*B11))*SIN(0.01745*(3417/B12*SQRT(B13/B9)))</f>
        <v>1053.916530584733</v>
      </c>
      <c r="C15" s="5">
        <v>1000</v>
      </c>
      <c r="D15" s="5">
        <f t="shared" si="0"/>
        <v>1003.824047826601</v>
      </c>
      <c r="E15" s="5">
        <v>664</v>
      </c>
      <c r="F15" s="5">
        <f t="shared" si="0"/>
        <v>234.266006427472</v>
      </c>
      <c r="G15" s="5">
        <f t="shared" si="0"/>
        <v>1014.5378231110993</v>
      </c>
      <c r="I15" s="5"/>
      <c r="J15" s="5"/>
      <c r="K15" s="5"/>
      <c r="L15" s="5"/>
      <c r="M15" s="5"/>
      <c r="N15" s="5"/>
    </row>
    <row r="19" spans="1:2" ht="12" customHeight="1">
      <c r="A19" s="18"/>
      <c r="B19" s="18"/>
    </row>
    <row r="26" spans="1:4" ht="12.75">
      <c r="A26" s="5"/>
      <c r="B26" s="5"/>
      <c r="C26" s="5"/>
      <c r="D26" s="5"/>
    </row>
    <row r="28" ht="16.5" customHeight="1">
      <c r="G28" s="1"/>
    </row>
    <row r="29" ht="16.5" customHeight="1"/>
  </sheetData>
  <printOptions/>
  <pageMargins left="0.31" right="0.44" top="0.24" bottom="0.71" header="0.06" footer="0.5"/>
  <pageSetup fitToHeight="1" fitToWidth="1" horizontalDpi="600" verticalDpi="600" orientation="portrait" r:id="rId1"/>
  <headerFooter alignWithMargins="0">
    <oddFooter>&amp;L&amp;F - &amp;A&amp;CRev 0, July 30, 2006&amp;R&amp;D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"/>
  <sheetViews>
    <sheetView workbookViewId="0" topLeftCell="A1">
      <selection activeCell="J40" sqref="J40"/>
    </sheetView>
  </sheetViews>
  <sheetFormatPr defaultColWidth="9.140625" defaultRowHeight="12.75"/>
  <sheetData>
    <row r="1" spans="2:13" ht="12.75">
      <c r="B1" s="54"/>
      <c r="C1" s="24"/>
      <c r="D1" s="24" t="s">
        <v>58</v>
      </c>
      <c r="E1" s="25"/>
      <c r="F1" s="54"/>
      <c r="G1" s="24" t="s">
        <v>62</v>
      </c>
      <c r="H1" s="24"/>
      <c r="I1" s="25"/>
      <c r="J1" s="54"/>
      <c r="K1" s="24"/>
      <c r="L1" s="24" t="s">
        <v>62</v>
      </c>
      <c r="M1" s="25"/>
    </row>
    <row r="2" spans="1:13" ht="12.75">
      <c r="A2" t="s">
        <v>63</v>
      </c>
      <c r="B2" s="55">
        <v>100</v>
      </c>
      <c r="C2" s="27">
        <v>60</v>
      </c>
      <c r="D2" s="27">
        <v>30</v>
      </c>
      <c r="E2" s="28">
        <v>10</v>
      </c>
      <c r="F2" s="55">
        <f>100*F3/90</f>
        <v>100</v>
      </c>
      <c r="G2" s="56">
        <f>100*G3/90</f>
        <v>66.66666666666667</v>
      </c>
      <c r="H2" s="56">
        <f>100*H3/90</f>
        <v>33.333333333333336</v>
      </c>
      <c r="I2" s="57">
        <f>100*I3/90</f>
        <v>11.11111111111111</v>
      </c>
      <c r="J2" s="55">
        <v>100</v>
      </c>
      <c r="K2" s="27">
        <v>60</v>
      </c>
      <c r="L2" s="27">
        <v>30</v>
      </c>
      <c r="M2" s="28">
        <v>10</v>
      </c>
    </row>
    <row r="3" spans="1:13" ht="12.75">
      <c r="A3" t="s">
        <v>59</v>
      </c>
      <c r="B3" s="55"/>
      <c r="C3" s="27"/>
      <c r="D3" s="27"/>
      <c r="E3" s="28"/>
      <c r="F3" s="55">
        <v>90</v>
      </c>
      <c r="G3" s="56">
        <v>60</v>
      </c>
      <c r="H3" s="56">
        <v>30</v>
      </c>
      <c r="I3" s="57">
        <v>10</v>
      </c>
      <c r="J3" s="55"/>
      <c r="K3" s="27"/>
      <c r="L3" s="27"/>
      <c r="M3" s="28"/>
    </row>
    <row r="4" spans="1:13" ht="12.75">
      <c r="A4" t="s">
        <v>21</v>
      </c>
      <c r="B4" s="55">
        <v>1150</v>
      </c>
      <c r="C4" s="27">
        <v>253</v>
      </c>
      <c r="D4" s="27">
        <v>53.3</v>
      </c>
      <c r="E4" s="28">
        <v>5.17</v>
      </c>
      <c r="F4" s="55">
        <v>434</v>
      </c>
      <c r="G4" s="56">
        <v>222</v>
      </c>
      <c r="H4" s="56">
        <v>82.5</v>
      </c>
      <c r="I4" s="57">
        <v>11.9</v>
      </c>
      <c r="J4" s="55">
        <v>530</v>
      </c>
      <c r="K4" s="27">
        <v>142</v>
      </c>
      <c r="L4" s="27">
        <v>34.1</v>
      </c>
      <c r="M4" s="28">
        <v>1.22</v>
      </c>
    </row>
    <row r="5" spans="1:13" ht="12.75">
      <c r="A5" t="s">
        <v>28</v>
      </c>
      <c r="B5" s="55">
        <v>2</v>
      </c>
      <c r="C5" s="27">
        <v>2</v>
      </c>
      <c r="D5" s="27">
        <v>2</v>
      </c>
      <c r="E5" s="28">
        <v>2</v>
      </c>
      <c r="F5" s="55">
        <v>2</v>
      </c>
      <c r="G5" s="56">
        <v>2</v>
      </c>
      <c r="H5" s="56">
        <v>2</v>
      </c>
      <c r="I5" s="57">
        <v>2</v>
      </c>
      <c r="J5" s="55">
        <v>2</v>
      </c>
      <c r="K5" s="27">
        <v>2</v>
      </c>
      <c r="L5" s="27">
        <v>2</v>
      </c>
      <c r="M5" s="28">
        <v>2</v>
      </c>
    </row>
    <row r="6" spans="1:13" ht="12.75">
      <c r="A6" t="s">
        <v>37</v>
      </c>
      <c r="B6" s="55">
        <v>0.5</v>
      </c>
      <c r="C6" s="27">
        <v>0.5</v>
      </c>
      <c r="D6" s="27">
        <v>0.5</v>
      </c>
      <c r="E6" s="28">
        <v>0.5</v>
      </c>
      <c r="F6" s="55">
        <v>0.5</v>
      </c>
      <c r="G6" s="56">
        <v>0.6</v>
      </c>
      <c r="H6" s="56">
        <v>0.6</v>
      </c>
      <c r="I6" s="57">
        <v>0.6</v>
      </c>
      <c r="J6" s="55">
        <v>0.5</v>
      </c>
      <c r="K6" s="27">
        <v>0.5</v>
      </c>
      <c r="L6" s="27">
        <v>0.5</v>
      </c>
      <c r="M6" s="28">
        <v>0.5</v>
      </c>
    </row>
    <row r="7" spans="2:13" ht="12.75">
      <c r="B7" s="55"/>
      <c r="C7" s="27"/>
      <c r="D7" s="27"/>
      <c r="E7" s="28"/>
      <c r="F7" s="55"/>
      <c r="G7" s="56"/>
      <c r="H7" s="56"/>
      <c r="I7" s="57"/>
      <c r="J7" s="55"/>
      <c r="K7" s="27"/>
      <c r="L7" s="27"/>
      <c r="M7" s="28"/>
    </row>
    <row r="8" spans="2:13" ht="12.75">
      <c r="B8" s="55"/>
      <c r="C8" s="27"/>
      <c r="D8" s="27"/>
      <c r="E8" s="28"/>
      <c r="F8" s="55"/>
      <c r="G8" s="56"/>
      <c r="H8" s="56"/>
      <c r="I8" s="57"/>
      <c r="J8" s="55"/>
      <c r="K8" s="27"/>
      <c r="L8" s="27"/>
      <c r="M8" s="28"/>
    </row>
    <row r="9" spans="1:13" ht="12.75">
      <c r="A9" t="s">
        <v>61</v>
      </c>
      <c r="B9" s="42">
        <f aca="true" t="shared" si="0" ref="B9:M9">B4*SQRT(B5/B6)</f>
        <v>2300</v>
      </c>
      <c r="C9" s="32">
        <f t="shared" si="0"/>
        <v>506</v>
      </c>
      <c r="D9" s="32">
        <f t="shared" si="0"/>
        <v>106.6</v>
      </c>
      <c r="E9" s="33">
        <f t="shared" si="0"/>
        <v>10.34</v>
      </c>
      <c r="F9" s="42">
        <f t="shared" si="0"/>
        <v>868</v>
      </c>
      <c r="G9" s="43">
        <f t="shared" si="0"/>
        <v>405.31469255382297</v>
      </c>
      <c r="H9" s="43">
        <f t="shared" si="0"/>
        <v>150.62370331392069</v>
      </c>
      <c r="I9" s="44">
        <f t="shared" si="0"/>
        <v>21.72632811437159</v>
      </c>
      <c r="J9" s="42">
        <f t="shared" si="0"/>
        <v>1060</v>
      </c>
      <c r="K9" s="32">
        <f t="shared" si="0"/>
        <v>284</v>
      </c>
      <c r="L9" s="32">
        <f t="shared" si="0"/>
        <v>68.2</v>
      </c>
      <c r="M9" s="33">
        <f t="shared" si="0"/>
        <v>2.44</v>
      </c>
    </row>
  </sheetData>
  <printOptions/>
  <pageMargins left="0.31" right="0.44" top="0.24" bottom="0.71" header="0.06" footer="0.5"/>
  <pageSetup fitToHeight="1" fitToWidth="1" horizontalDpi="600" verticalDpi="600" orientation="portrait" scale="84" r:id="rId2"/>
  <headerFooter alignWithMargins="0">
    <oddFooter>&amp;L&amp;F - &amp;A&amp;CRev 0, July 30, 2006&amp;R&amp;D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0"/>
  <sheetViews>
    <sheetView workbookViewId="0" topLeftCell="A1">
      <selection activeCell="J40" sqref="J40"/>
    </sheetView>
  </sheetViews>
  <sheetFormatPr defaultColWidth="9.140625" defaultRowHeight="12.75"/>
  <cols>
    <col min="1" max="1" width="21.140625" style="0" customWidth="1"/>
    <col min="2" max="5" width="12.28125" style="0" customWidth="1"/>
    <col min="6" max="6" width="12.421875" style="0" customWidth="1"/>
    <col min="8" max="8" width="10.421875" style="0" customWidth="1"/>
  </cols>
  <sheetData>
    <row r="1" spans="1:5" ht="12.75">
      <c r="A1" s="11" t="s">
        <v>91</v>
      </c>
      <c r="D1" s="58" t="s">
        <v>99</v>
      </c>
      <c r="E1" s="58"/>
    </row>
    <row r="2" spans="1:6" ht="12.75">
      <c r="A2" s="8" t="s">
        <v>5</v>
      </c>
      <c r="D2" s="1" t="s">
        <v>96</v>
      </c>
      <c r="E2" s="1" t="s">
        <v>96</v>
      </c>
      <c r="F2" t="s">
        <v>105</v>
      </c>
    </row>
    <row r="3" spans="2:7" ht="18" customHeight="1">
      <c r="B3" s="22"/>
      <c r="C3" s="40" t="s">
        <v>97</v>
      </c>
      <c r="E3" s="1" t="s">
        <v>98</v>
      </c>
      <c r="F3" t="s">
        <v>75</v>
      </c>
      <c r="G3" t="s">
        <v>104</v>
      </c>
    </row>
    <row r="4" spans="1:8" ht="12.75">
      <c r="A4" t="s">
        <v>15</v>
      </c>
      <c r="B4">
        <v>670</v>
      </c>
      <c r="C4">
        <v>670</v>
      </c>
      <c r="D4">
        <v>215</v>
      </c>
      <c r="E4">
        <v>670</v>
      </c>
      <c r="F4">
        <v>50.5</v>
      </c>
      <c r="G4">
        <v>50.5</v>
      </c>
      <c r="H4">
        <v>50.5</v>
      </c>
    </row>
    <row r="5" spans="1:8" ht="12.75">
      <c r="A5" t="s">
        <v>40</v>
      </c>
      <c r="B5">
        <v>230</v>
      </c>
      <c r="C5">
        <v>230</v>
      </c>
      <c r="D5">
        <v>180</v>
      </c>
      <c r="E5">
        <v>230</v>
      </c>
      <c r="F5">
        <v>45</v>
      </c>
      <c r="G5">
        <v>45</v>
      </c>
      <c r="H5">
        <v>45</v>
      </c>
    </row>
    <row r="6" spans="1:8" ht="12.75">
      <c r="A6" t="s">
        <v>27</v>
      </c>
      <c r="E6">
        <v>33.3</v>
      </c>
      <c r="F6">
        <v>26</v>
      </c>
      <c r="G6">
        <v>27.7</v>
      </c>
      <c r="H6">
        <v>27.7</v>
      </c>
    </row>
    <row r="7" spans="1:8" ht="12.75">
      <c r="A7" t="s">
        <v>55</v>
      </c>
      <c r="E7">
        <v>8370</v>
      </c>
      <c r="F7">
        <v>2650</v>
      </c>
      <c r="G7">
        <v>1880</v>
      </c>
      <c r="H7">
        <v>1880</v>
      </c>
    </row>
    <row r="8" spans="1:8" ht="12.75">
      <c r="A8" t="s">
        <v>92</v>
      </c>
      <c r="B8">
        <v>567</v>
      </c>
      <c r="C8">
        <v>191</v>
      </c>
      <c r="D8">
        <v>251</v>
      </c>
      <c r="E8">
        <v>251</v>
      </c>
      <c r="F8">
        <v>102</v>
      </c>
      <c r="G8">
        <v>102</v>
      </c>
      <c r="H8">
        <v>102</v>
      </c>
    </row>
    <row r="9" spans="1:8" ht="12.75">
      <c r="A9" t="s">
        <v>20</v>
      </c>
      <c r="B9">
        <v>0.8</v>
      </c>
      <c r="C9">
        <v>0.8</v>
      </c>
      <c r="D9">
        <v>0.8</v>
      </c>
      <c r="E9">
        <v>0.8</v>
      </c>
      <c r="F9">
        <v>0.64</v>
      </c>
      <c r="G9">
        <v>0.64</v>
      </c>
      <c r="H9">
        <v>0.64</v>
      </c>
    </row>
    <row r="10" spans="1:8" ht="12.75">
      <c r="A10" t="s">
        <v>12</v>
      </c>
      <c r="E10">
        <v>520</v>
      </c>
      <c r="F10">
        <v>520</v>
      </c>
      <c r="G10">
        <v>520</v>
      </c>
      <c r="H10">
        <v>520</v>
      </c>
    </row>
    <row r="11" ht="12.75">
      <c r="A11" s="8" t="s">
        <v>7</v>
      </c>
    </row>
    <row r="12" spans="1:8" ht="12.75">
      <c r="A12" t="s">
        <v>95</v>
      </c>
      <c r="B12" s="3"/>
      <c r="C12" s="3"/>
      <c r="D12" s="3"/>
      <c r="E12" s="3">
        <f>(3417/E6)*SQRT((E4-E5)/E4)</f>
        <v>83.15525164989906</v>
      </c>
      <c r="F12" s="3">
        <f>(3417/F6)*SQRT((F4-F5)/F4)</f>
        <v>43.37178402803423</v>
      </c>
      <c r="G12" s="3">
        <f>(3417/G6)*SQRT((G4-G5)/G4)</f>
        <v>40.709977788046565</v>
      </c>
      <c r="H12" s="3">
        <f>(3417/H6)*SQRT((H4-H5)/H4)</f>
        <v>40.709977788046565</v>
      </c>
    </row>
    <row r="13" spans="1:8" ht="12.75">
      <c r="A13" t="s">
        <v>94</v>
      </c>
      <c r="B13" s="3"/>
      <c r="C13" s="3"/>
      <c r="D13" s="3"/>
      <c r="E13" s="3">
        <f>(3417/E6)*SQRT((E4-E5)/E4)*PI()/180</f>
        <v>1.4513329316151855</v>
      </c>
      <c r="F13" s="3">
        <f>(3417/F6)*SQRT((F4-F5)/F4)*PI()/180</f>
        <v>0.7569804337530859</v>
      </c>
      <c r="G13" s="3">
        <f>(3417/G6)*SQRT((G4-G5)/G4)*PI()/180</f>
        <v>0.7105231508151708</v>
      </c>
      <c r="H13" s="3">
        <f>(3417/H6)*SQRT((H4-H5)/H4)*PI()/180</f>
        <v>0.7105231508151708</v>
      </c>
    </row>
    <row r="14" spans="1:8" ht="12.75">
      <c r="A14" t="s">
        <v>93</v>
      </c>
      <c r="B14" s="9"/>
      <c r="C14" s="9"/>
      <c r="D14" s="9"/>
      <c r="E14" s="9">
        <f>24*E7*E4*SIN(E13)*SQRT(520/(E9*E10))/1000000</f>
        <v>149.4032662122575</v>
      </c>
      <c r="F14" s="9">
        <f>24*F7*F4*SIN(F13)*SQRT(520/(F9*F10))/1000000</f>
        <v>2.757047731332826</v>
      </c>
      <c r="G14" s="9">
        <f>24*G7*G4*SIN(G13)*SQRT(520/(G9*G10))/1000000</f>
        <v>1.8576826806430813</v>
      </c>
      <c r="H14" s="9">
        <f>24*H7*H4*SIN(H13)*SQRT(520/(H9*H10))/1000000</f>
        <v>1.8576826806430813</v>
      </c>
    </row>
    <row r="15" spans="1:5" ht="12.75">
      <c r="A15" t="s">
        <v>17</v>
      </c>
      <c r="B15" s="3">
        <f>B8*SQRT((B4-B5)/B9)</f>
        <v>13297.328679099424</v>
      </c>
      <c r="C15" s="3">
        <f>C8*SQRT((C4-C5)/C9)</f>
        <v>4479.347050631375</v>
      </c>
      <c r="D15" s="3">
        <f>D8*SQRT((D4-D5)/D9)</f>
        <v>1660.2089476930305</v>
      </c>
      <c r="E15" s="3"/>
    </row>
    <row r="16" spans="1:5" ht="12.75">
      <c r="A16" t="s">
        <v>16</v>
      </c>
      <c r="B16" s="9">
        <f>B15*1440/42</f>
        <v>455908.41185483744</v>
      </c>
      <c r="C16" s="9">
        <f>C15*1440/42</f>
        <v>153577.6131645043</v>
      </c>
      <c r="D16" s="9">
        <f>D15*1440/42</f>
        <v>56921.449635189616</v>
      </c>
      <c r="E16" s="9"/>
    </row>
    <row r="17" ht="12.75">
      <c r="C17" t="s">
        <v>31</v>
      </c>
    </row>
    <row r="18" spans="1:8" ht="12.75">
      <c r="A18" t="s">
        <v>9</v>
      </c>
      <c r="E18" s="4">
        <f>28.964*E9*E14*1000000/(379.5*24)</f>
        <v>380089.25802124076</v>
      </c>
      <c r="F18" s="4">
        <f>28.964*F9*F14*1000000/(379.5*24)</f>
        <v>5611.252032697336</v>
      </c>
      <c r="G18" s="4">
        <f>28.964*G9*G14*1000000/(379.5*24)</f>
        <v>3780.8288914990753</v>
      </c>
      <c r="H18" s="4">
        <f>28.964*H9*H14*1000000/(379.5*24)</f>
        <v>3780.8288914990753</v>
      </c>
    </row>
    <row r="20" ht="12.75">
      <c r="B20" t="s">
        <v>31</v>
      </c>
    </row>
  </sheetData>
  <mergeCells count="1">
    <mergeCell ref="D1:E1"/>
  </mergeCells>
  <printOptions/>
  <pageMargins left="0.31" right="0.44" top="0.24" bottom="0.71" header="0.06" footer="0.5"/>
  <pageSetup fitToHeight="1" fitToWidth="1" horizontalDpi="600" verticalDpi="600" orientation="portrait" scale="98" r:id="rId2"/>
  <headerFooter alignWithMargins="0">
    <oddFooter>&amp;L&amp;F - &amp;A&amp;CRev 0, July 30, 2006&amp;R&amp;D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F28"/>
  <sheetViews>
    <sheetView workbookViewId="0" topLeftCell="A1">
      <selection activeCell="J40" sqref="J40"/>
    </sheetView>
  </sheetViews>
  <sheetFormatPr defaultColWidth="9.140625" defaultRowHeight="12.75"/>
  <cols>
    <col min="1" max="1" width="21.140625" style="0" customWidth="1"/>
    <col min="2" max="5" width="12.28125" style="0" customWidth="1"/>
    <col min="6" max="6" width="12.421875" style="0" customWidth="1"/>
    <col min="8" max="8" width="10.421875" style="0" customWidth="1"/>
  </cols>
  <sheetData>
    <row r="1" ht="11.25" customHeight="1"/>
    <row r="2" ht="12.75">
      <c r="A2" s="19" t="s">
        <v>79</v>
      </c>
    </row>
    <row r="3" spans="1:3" ht="12.75">
      <c r="A3" s="19" t="s">
        <v>5</v>
      </c>
      <c r="B3" t="s">
        <v>102</v>
      </c>
      <c r="C3" t="s">
        <v>103</v>
      </c>
    </row>
    <row r="4" spans="1:6" ht="12.75">
      <c r="A4" t="s">
        <v>80</v>
      </c>
      <c r="B4" s="14">
        <v>52.43</v>
      </c>
      <c r="C4" s="14">
        <v>31.9</v>
      </c>
      <c r="D4" s="14">
        <v>539</v>
      </c>
      <c r="E4" s="14">
        <v>338</v>
      </c>
      <c r="F4" s="14">
        <v>239</v>
      </c>
    </row>
    <row r="5" spans="1:6" ht="12.75">
      <c r="A5" t="s">
        <v>81</v>
      </c>
      <c r="B5" s="14">
        <v>3</v>
      </c>
      <c r="C5" s="14">
        <v>3</v>
      </c>
      <c r="D5" s="14">
        <v>4</v>
      </c>
      <c r="E5" s="14">
        <v>3</v>
      </c>
      <c r="F5" s="14">
        <v>8</v>
      </c>
    </row>
    <row r="6" spans="2:6" ht="12.75">
      <c r="B6" s="14"/>
      <c r="C6" s="14"/>
      <c r="D6" s="14"/>
      <c r="E6" s="14"/>
      <c r="F6" s="14"/>
    </row>
    <row r="7" spans="1:6" ht="12.75">
      <c r="A7" s="19" t="s">
        <v>7</v>
      </c>
      <c r="B7" s="14"/>
      <c r="C7" s="14"/>
      <c r="D7" s="14"/>
      <c r="E7" s="14"/>
      <c r="F7" s="14"/>
    </row>
    <row r="8" spans="1:6" ht="12.75">
      <c r="A8" t="s">
        <v>0</v>
      </c>
      <c r="B8" s="14">
        <f>(29.9*B5^2/B4)^2</f>
        <v>26.343148502518215</v>
      </c>
      <c r="C8" s="14">
        <f>(29.9*C5^2/C4)^2</f>
        <v>71.16165328563987</v>
      </c>
      <c r="D8" s="14">
        <f>(29.9*D5^2/D4)^2</f>
        <v>0.7877797474192916</v>
      </c>
      <c r="E8" s="14">
        <f>(29.9*E5^2/E4)^2</f>
        <v>0.633860946745562</v>
      </c>
      <c r="F8" s="14">
        <f>(29.9*F5^2/F4)^2</f>
        <v>64.10715778785384</v>
      </c>
    </row>
    <row r="9" ht="12.75">
      <c r="B9" s="14"/>
    </row>
    <row r="10" spans="1:2" ht="12.75">
      <c r="A10" s="19" t="s">
        <v>82</v>
      </c>
      <c r="B10" s="14"/>
    </row>
    <row r="11" spans="1:2" ht="12.75">
      <c r="A11" s="19" t="s">
        <v>5</v>
      </c>
      <c r="B11" s="14"/>
    </row>
    <row r="12" spans="1:2" ht="12.75">
      <c r="A12" t="s">
        <v>83</v>
      </c>
      <c r="B12" s="14">
        <v>100</v>
      </c>
    </row>
    <row r="13" spans="1:2" ht="12.75">
      <c r="A13" t="s">
        <v>81</v>
      </c>
      <c r="B13" s="14">
        <v>8</v>
      </c>
    </row>
    <row r="14" spans="1:2" ht="12.75">
      <c r="A14" s="19" t="s">
        <v>7</v>
      </c>
      <c r="B14" s="14"/>
    </row>
    <row r="15" spans="1:2" ht="12.75">
      <c r="A15" t="s">
        <v>21</v>
      </c>
      <c r="B15" s="14">
        <f>29.9*B13^2/SQRT(B12)</f>
        <v>191.35999999999999</v>
      </c>
    </row>
    <row r="18" ht="12.75">
      <c r="A18" s="11" t="s">
        <v>85</v>
      </c>
    </row>
    <row r="19" ht="12.75">
      <c r="A19" s="11" t="s">
        <v>86</v>
      </c>
    </row>
    <row r="20" ht="12.75">
      <c r="A20" s="21" t="s">
        <v>5</v>
      </c>
    </row>
    <row r="21" spans="1:4" ht="12.75">
      <c r="A21" t="s">
        <v>87</v>
      </c>
      <c r="B21">
        <v>20</v>
      </c>
      <c r="C21">
        <v>0.79</v>
      </c>
      <c r="D21">
        <v>0.63</v>
      </c>
    </row>
    <row r="22" spans="1:4" ht="12.75">
      <c r="A22" t="s">
        <v>88</v>
      </c>
      <c r="B22">
        <v>8</v>
      </c>
      <c r="C22">
        <v>4</v>
      </c>
      <c r="D22">
        <v>3</v>
      </c>
    </row>
    <row r="23" spans="1:4" ht="12.75">
      <c r="A23" t="s">
        <v>90</v>
      </c>
      <c r="B23">
        <v>4</v>
      </c>
      <c r="C23">
        <v>8</v>
      </c>
      <c r="D23">
        <v>8</v>
      </c>
    </row>
    <row r="24" ht="12.75">
      <c r="A24" s="21" t="s">
        <v>7</v>
      </c>
    </row>
    <row r="25" spans="1:4" ht="12.75">
      <c r="A25" t="s">
        <v>89</v>
      </c>
      <c r="B25">
        <f>B21*(B23/B22)^4</f>
        <v>1.25</v>
      </c>
      <c r="C25">
        <f>C21*(C23/C22)^4</f>
        <v>12.64</v>
      </c>
      <c r="D25" s="3">
        <f>D21*(D23/D22)^4</f>
        <v>31.857777777777777</v>
      </c>
    </row>
    <row r="28" ht="12.75">
      <c r="B28" t="s">
        <v>31</v>
      </c>
    </row>
  </sheetData>
  <printOptions/>
  <pageMargins left="0.31" right="0.44" top="0.24" bottom="0.71" header="0.06" footer="0.5"/>
  <pageSetup fitToHeight="1" fitToWidth="1" horizontalDpi="600" verticalDpi="600" orientation="portrait" r:id="rId2"/>
  <headerFooter alignWithMargins="0">
    <oddFooter>&amp;L&amp;F - &amp;A&amp;CRev 0, July 30, 2006&amp;R&amp;D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tabSelected="1" workbookViewId="0" topLeftCell="A1">
      <selection activeCell="N23" sqref="N23"/>
    </sheetView>
  </sheetViews>
  <sheetFormatPr defaultColWidth="9.140625" defaultRowHeight="12.75"/>
  <cols>
    <col min="9" max="9" width="5.421875" style="0" customWidth="1"/>
    <col min="10" max="12" width="4.8515625" style="0" customWidth="1"/>
  </cols>
  <sheetData>
    <row r="1" spans="1:9" ht="12.75">
      <c r="A1" s="61" t="s">
        <v>92</v>
      </c>
      <c r="B1" s="62"/>
      <c r="C1" s="62"/>
      <c r="D1" s="62"/>
      <c r="E1" s="62"/>
      <c r="F1" s="62"/>
      <c r="G1" s="62"/>
      <c r="H1" s="63"/>
      <c r="I1" s="27"/>
    </row>
    <row r="2" spans="1:9" ht="12.75">
      <c r="A2" s="41"/>
      <c r="B2" s="60" t="s">
        <v>121</v>
      </c>
      <c r="C2" s="60"/>
      <c r="D2" s="35" t="s">
        <v>124</v>
      </c>
      <c r="E2" s="35" t="s">
        <v>115</v>
      </c>
      <c r="F2" s="60" t="s">
        <v>118</v>
      </c>
      <c r="G2" s="60"/>
      <c r="H2" s="38" t="s">
        <v>119</v>
      </c>
      <c r="I2" s="27"/>
    </row>
    <row r="3" spans="1:9" ht="12.75">
      <c r="A3" s="41" t="s">
        <v>120</v>
      </c>
      <c r="B3" s="35" t="s">
        <v>122</v>
      </c>
      <c r="C3" s="35" t="s">
        <v>123</v>
      </c>
      <c r="D3" s="35"/>
      <c r="E3" s="35"/>
      <c r="F3" s="35" t="s">
        <v>125</v>
      </c>
      <c r="G3" s="35" t="s">
        <v>126</v>
      </c>
      <c r="H3" s="38"/>
      <c r="I3" s="27"/>
    </row>
    <row r="4" spans="1:9" ht="12.75">
      <c r="A4" s="41">
        <v>2</v>
      </c>
      <c r="B4" s="35">
        <v>71</v>
      </c>
      <c r="C4" s="35">
        <v>137</v>
      </c>
      <c r="D4" s="35">
        <v>215</v>
      </c>
      <c r="E4" s="35">
        <v>48</v>
      </c>
      <c r="F4" s="35">
        <v>480</v>
      </c>
      <c r="G4" s="35"/>
      <c r="H4" s="38">
        <v>91.2</v>
      </c>
      <c r="I4" s="27"/>
    </row>
    <row r="5" spans="1:9" ht="12.75">
      <c r="A5" s="45">
        <v>2.5</v>
      </c>
      <c r="B5" s="35">
        <v>108</v>
      </c>
      <c r="C5" s="35">
        <v>221</v>
      </c>
      <c r="D5" s="35">
        <v>335</v>
      </c>
      <c r="E5" s="35">
        <v>70</v>
      </c>
      <c r="F5" s="35">
        <v>750</v>
      </c>
      <c r="G5" s="35"/>
      <c r="H5" s="38"/>
      <c r="I5" s="27"/>
    </row>
    <row r="6" spans="1:9" ht="12.75">
      <c r="A6" s="41">
        <v>3</v>
      </c>
      <c r="B6" s="35">
        <v>178</v>
      </c>
      <c r="C6" s="35">
        <v>327</v>
      </c>
      <c r="D6" s="35">
        <v>510</v>
      </c>
      <c r="E6" s="35">
        <v>111</v>
      </c>
      <c r="F6" s="35">
        <v>1300</v>
      </c>
      <c r="G6" s="35">
        <v>420</v>
      </c>
      <c r="H6" s="38">
        <v>256</v>
      </c>
      <c r="I6" s="27"/>
    </row>
    <row r="7" spans="1:9" ht="12.75">
      <c r="A7" s="41">
        <v>4</v>
      </c>
      <c r="B7" s="35">
        <v>330</v>
      </c>
      <c r="C7" s="35">
        <v>605</v>
      </c>
      <c r="D7" s="35">
        <v>945</v>
      </c>
      <c r="E7" s="35">
        <v>198</v>
      </c>
      <c r="F7" s="35">
        <v>2300</v>
      </c>
      <c r="G7" s="35">
        <v>770</v>
      </c>
      <c r="H7" s="38">
        <v>518</v>
      </c>
      <c r="I7" s="27"/>
    </row>
    <row r="8" spans="1:9" ht="12.75">
      <c r="A8" s="41">
        <v>5</v>
      </c>
      <c r="B8" s="35">
        <v>560</v>
      </c>
      <c r="C8" s="35">
        <v>975</v>
      </c>
      <c r="D8" s="35">
        <v>1525</v>
      </c>
      <c r="E8" s="35">
        <v>315</v>
      </c>
      <c r="F8" s="35"/>
      <c r="G8" s="35"/>
      <c r="H8" s="38"/>
      <c r="I8" s="27"/>
    </row>
    <row r="9" spans="1:9" ht="12.75">
      <c r="A9" s="41">
        <v>6</v>
      </c>
      <c r="B9" s="35">
        <v>840</v>
      </c>
      <c r="C9" s="35">
        <v>1440</v>
      </c>
      <c r="D9" s="35">
        <v>2250</v>
      </c>
      <c r="E9" s="35">
        <v>465</v>
      </c>
      <c r="F9" s="35">
        <v>5400</v>
      </c>
      <c r="G9" s="35">
        <v>1800</v>
      </c>
      <c r="H9" s="38">
        <v>1750</v>
      </c>
      <c r="I9" s="27"/>
    </row>
    <row r="10" spans="1:9" ht="12.75">
      <c r="A10" s="41">
        <v>8</v>
      </c>
      <c r="B10" s="35">
        <v>1600</v>
      </c>
      <c r="C10" s="35">
        <v>2670</v>
      </c>
      <c r="D10" s="35">
        <v>4150</v>
      </c>
      <c r="E10" s="35">
        <v>860</v>
      </c>
      <c r="F10" s="35">
        <v>10000</v>
      </c>
      <c r="G10" s="35">
        <v>2500</v>
      </c>
      <c r="H10" s="38">
        <v>2820</v>
      </c>
      <c r="I10" s="27"/>
    </row>
    <row r="11" spans="1:9" ht="12.75">
      <c r="A11" s="41">
        <v>10</v>
      </c>
      <c r="B11" s="35">
        <v>2700</v>
      </c>
      <c r="C11" s="35">
        <v>4300</v>
      </c>
      <c r="D11" s="35">
        <v>6700</v>
      </c>
      <c r="E11" s="35">
        <v>1390</v>
      </c>
      <c r="F11" s="35">
        <v>16000</v>
      </c>
      <c r="G11" s="35">
        <v>4500</v>
      </c>
      <c r="H11" s="38">
        <v>4630</v>
      </c>
      <c r="I11" s="27"/>
    </row>
    <row r="12" spans="1:9" ht="12.75">
      <c r="A12" s="41">
        <v>12</v>
      </c>
      <c r="B12" s="35">
        <v>4000</v>
      </c>
      <c r="C12" s="35">
        <v>6350</v>
      </c>
      <c r="D12" s="35">
        <v>9925</v>
      </c>
      <c r="E12" s="35"/>
      <c r="F12" s="35">
        <v>24000</v>
      </c>
      <c r="G12" s="35">
        <v>8000</v>
      </c>
      <c r="H12" s="38">
        <v>7020</v>
      </c>
      <c r="I12" s="27"/>
    </row>
    <row r="13" spans="1:9" ht="12.75">
      <c r="A13" s="41">
        <v>14</v>
      </c>
      <c r="B13" s="35">
        <v>5200</v>
      </c>
      <c r="C13" s="35"/>
      <c r="D13" s="35">
        <v>13800</v>
      </c>
      <c r="E13" s="35"/>
      <c r="F13" s="35">
        <v>31400</v>
      </c>
      <c r="G13" s="35">
        <v>12000</v>
      </c>
      <c r="H13" s="38"/>
      <c r="I13" s="27"/>
    </row>
    <row r="14" spans="1:9" ht="12.75">
      <c r="A14" s="41">
        <v>16</v>
      </c>
      <c r="B14" s="35">
        <v>7200</v>
      </c>
      <c r="C14" s="35"/>
      <c r="D14" s="35">
        <v>18375</v>
      </c>
      <c r="E14" s="35"/>
      <c r="F14" s="35">
        <v>43000</v>
      </c>
      <c r="G14" s="35">
        <v>14000</v>
      </c>
      <c r="H14" s="38"/>
      <c r="I14" s="27"/>
    </row>
    <row r="15" spans="1:9" ht="12.75">
      <c r="A15" s="41">
        <v>18</v>
      </c>
      <c r="B15" s="35">
        <v>9400</v>
      </c>
      <c r="C15" s="35"/>
      <c r="D15" s="35">
        <v>23600</v>
      </c>
      <c r="E15" s="35"/>
      <c r="F15" s="35">
        <v>57000</v>
      </c>
      <c r="G15" s="35">
        <v>18000</v>
      </c>
      <c r="H15" s="38"/>
      <c r="I15" s="27"/>
    </row>
    <row r="16" spans="1:9" ht="12.75">
      <c r="A16" s="41">
        <v>20</v>
      </c>
      <c r="B16" s="35">
        <v>12000</v>
      </c>
      <c r="C16" s="35"/>
      <c r="D16" s="35">
        <v>29600</v>
      </c>
      <c r="E16" s="35"/>
      <c r="F16" s="35">
        <v>73000</v>
      </c>
      <c r="G16" s="35">
        <v>22000</v>
      </c>
      <c r="H16" s="38"/>
      <c r="I16" s="27"/>
    </row>
    <row r="17" spans="1:9" ht="12.75">
      <c r="A17" s="41">
        <v>24</v>
      </c>
      <c r="B17" s="35">
        <v>18500</v>
      </c>
      <c r="C17" s="35"/>
      <c r="D17" s="35">
        <v>43570</v>
      </c>
      <c r="E17" s="35"/>
      <c r="F17" s="35"/>
      <c r="G17" s="35"/>
      <c r="H17" s="38"/>
      <c r="I17" s="27"/>
    </row>
    <row r="18" spans="1:9" ht="12.75">
      <c r="A18" s="46">
        <v>30</v>
      </c>
      <c r="B18" s="36">
        <v>33000</v>
      </c>
      <c r="C18" s="36"/>
      <c r="D18" s="36"/>
      <c r="E18" s="36"/>
      <c r="F18" s="36"/>
      <c r="G18" s="36"/>
      <c r="H18" s="39"/>
      <c r="I18" s="27"/>
    </row>
    <row r="22" spans="1:8" ht="12.75">
      <c r="A22" s="67"/>
      <c r="B22" s="61" t="s">
        <v>0</v>
      </c>
      <c r="C22" s="62"/>
      <c r="D22" s="62"/>
      <c r="E22" s="62"/>
      <c r="F22" s="62"/>
      <c r="G22" s="62"/>
      <c r="H22" s="63"/>
    </row>
    <row r="23" spans="1:8" ht="12.75">
      <c r="A23" s="68"/>
      <c r="B23" s="59" t="s">
        <v>121</v>
      </c>
      <c r="C23" s="60"/>
      <c r="D23" s="35" t="s">
        <v>124</v>
      </c>
      <c r="E23" s="35" t="s">
        <v>115</v>
      </c>
      <c r="F23" s="60" t="s">
        <v>118</v>
      </c>
      <c r="G23" s="60"/>
      <c r="H23" s="38" t="s">
        <v>119</v>
      </c>
    </row>
    <row r="24" spans="1:8" ht="12.75">
      <c r="A24" s="69" t="s">
        <v>120</v>
      </c>
      <c r="B24" s="41" t="s">
        <v>122</v>
      </c>
      <c r="C24" s="35" t="s">
        <v>123</v>
      </c>
      <c r="D24" s="35"/>
      <c r="E24" s="35"/>
      <c r="F24" s="35" t="s">
        <v>125</v>
      </c>
      <c r="G24" s="35" t="s">
        <v>126</v>
      </c>
      <c r="H24" s="38"/>
    </row>
    <row r="25" spans="1:8" ht="12.75">
      <c r="A25" s="69">
        <v>2</v>
      </c>
      <c r="B25" s="47">
        <f>((29.9*$A4^2)/B4)^2</f>
        <v>2.837563975401706</v>
      </c>
      <c r="C25" s="48">
        <f>((29.9*$A4^2)/C4)^2</f>
        <v>0.7621162555277318</v>
      </c>
      <c r="D25" s="48">
        <f>((29.9*$A4^2)/D4)^2</f>
        <v>0.3094464034613304</v>
      </c>
      <c r="E25" s="48">
        <f>((29.9*$A4^2)/E4)^2</f>
        <v>6.208402777777778</v>
      </c>
      <c r="F25" s="49">
        <f>((29.9*$A4^2)/F4)^2</f>
        <v>0.062084027777777766</v>
      </c>
      <c r="G25" s="48"/>
      <c r="H25" s="50">
        <f>((29.9*$A4^2)/H4)^2</f>
        <v>1.7197791628193289</v>
      </c>
    </row>
    <row r="26" spans="1:10" ht="12.75">
      <c r="A26" s="70">
        <v>2.5</v>
      </c>
      <c r="B26" s="47">
        <f>((29.9*$A5^2)/B5)^2</f>
        <v>2.9940214013203024</v>
      </c>
      <c r="C26" s="48">
        <f>((29.9*$A5^2)/C5)^2</f>
        <v>0.7150194636678201</v>
      </c>
      <c r="D26" s="48">
        <f>((29.9*$A5^2)/D5)^2</f>
        <v>0.3111808030741814</v>
      </c>
      <c r="E26" s="48">
        <f>((29.9*$A5^2)/E5)^2</f>
        <v>7.126992984693878</v>
      </c>
      <c r="F26" s="49">
        <f>((29.9*$A5^2)/F5)^2</f>
        <v>0.06208402777777778</v>
      </c>
      <c r="G26" s="48"/>
      <c r="H26" s="50"/>
      <c r="J26" t="s">
        <v>31</v>
      </c>
    </row>
    <row r="27" spans="1:8" ht="12.75">
      <c r="A27" s="69">
        <v>3</v>
      </c>
      <c r="B27" s="47">
        <f>((29.9*$A6^2)/B6)^2</f>
        <v>2.2855324453983075</v>
      </c>
      <c r="C27" s="48">
        <f>((29.9*$A6^2)/C6)^2</f>
        <v>0.6772232977022135</v>
      </c>
      <c r="D27" s="48">
        <f>((29.9*$A6^2)/D6)^2</f>
        <v>0.27841141868512104</v>
      </c>
      <c r="E27" s="48">
        <f>((29.9*$A6^2)/E6)^2</f>
        <v>5.877348429510591</v>
      </c>
      <c r="F27" s="49">
        <f>((29.9*$A6^2)/F6)^2</f>
        <v>0.042848999999999984</v>
      </c>
      <c r="G27" s="48">
        <f>((29.9*$A6^2)/G6)^2</f>
        <v>0.4105147959183673</v>
      </c>
      <c r="H27" s="50">
        <f>((29.9*$A6^2)/H6)^2</f>
        <v>1.1049623107910154</v>
      </c>
    </row>
    <row r="28" spans="1:12" ht="12.75">
      <c r="A28" s="69">
        <v>4</v>
      </c>
      <c r="B28" s="47">
        <f>((29.9*$A7^2)/B7)^2</f>
        <v>2.1016213039485767</v>
      </c>
      <c r="C28" s="48">
        <f>((29.9*$A7^2)/C7)^2</f>
        <v>0.625275759852469</v>
      </c>
      <c r="D28" s="48">
        <f>((29.9*$A7^2)/D7)^2</f>
        <v>0.25628236611517036</v>
      </c>
      <c r="E28" s="48">
        <f>((29.9*$A7^2)/E7)^2</f>
        <v>5.837836955412713</v>
      </c>
      <c r="F28" s="49">
        <f>((29.9*$A7^2)/F7)^2</f>
        <v>0.043264</v>
      </c>
      <c r="G28" s="48">
        <f>((29.9*$A7^2)/G7)^2</f>
        <v>0.3860120762354528</v>
      </c>
      <c r="H28" s="50">
        <f>((29.9*$A7^2)/H7)^2</f>
        <v>0.8529485249176367</v>
      </c>
      <c r="L28" t="s">
        <v>31</v>
      </c>
    </row>
    <row r="29" spans="1:8" ht="12.75">
      <c r="A29" s="69">
        <v>5</v>
      </c>
      <c r="B29" s="47">
        <f>((29.9*$A8^2)/B8)^2</f>
        <v>1.7817482461734695</v>
      </c>
      <c r="C29" s="48">
        <f>((29.9*$A8^2)/C8)^2</f>
        <v>0.5877777777777778</v>
      </c>
      <c r="D29" s="48">
        <f>((29.9*$A8^2)/D8)^2</f>
        <v>0.24026068261220104</v>
      </c>
      <c r="E29" s="48">
        <f>((29.9*$A8^2)/E8)^2</f>
        <v>5.631204333585286</v>
      </c>
      <c r="F29" s="49"/>
      <c r="G29" s="48"/>
      <c r="H29" s="50"/>
    </row>
    <row r="30" spans="1:8" ht="12.75">
      <c r="A30" s="69">
        <v>6</v>
      </c>
      <c r="B30" s="47">
        <f>((29.9*$A9^2)/B9)^2</f>
        <v>1.6420591836734693</v>
      </c>
      <c r="C30" s="48">
        <f>((29.9*$A9^2)/C9)^2</f>
        <v>0.55875625</v>
      </c>
      <c r="D30" s="48">
        <f>((29.9*$A9^2)/D9)^2</f>
        <v>0.22886655999999994</v>
      </c>
      <c r="E30" s="48">
        <f>((29.9*$A9^2)/E9)^2</f>
        <v>5.358478251821018</v>
      </c>
      <c r="F30" s="49">
        <f>((29.9*$A9^2)/F9)^2</f>
        <v>0.03973377777777777</v>
      </c>
      <c r="G30" s="48">
        <f>((29.9*$A9^2)/G9)^2</f>
        <v>0.357604</v>
      </c>
      <c r="H30" s="50">
        <f>((29.9*$A9^2)/H9)^2</f>
        <v>0.3783304359183673</v>
      </c>
    </row>
    <row r="31" spans="1:8" ht="12.75">
      <c r="A31" s="69">
        <v>8</v>
      </c>
      <c r="B31" s="47">
        <f>((29.9*$A10^2)/B10)^2</f>
        <v>1.430416</v>
      </c>
      <c r="C31" s="48">
        <f>((29.9*$A10^2)/C10)^2</f>
        <v>0.5136647954102316</v>
      </c>
      <c r="D31" s="48">
        <f>((29.9*$A10^2)/D10)^2</f>
        <v>0.21262098766148932</v>
      </c>
      <c r="E31" s="48">
        <f>((29.9*$A10^2)/E10)^2</f>
        <v>4.951142455381286</v>
      </c>
      <c r="F31" s="49">
        <f>((29.9*$A10^2)/F10)^2</f>
        <v>0.036618649600000004</v>
      </c>
      <c r="G31" s="48">
        <f>((29.9*$A10^2)/G10)^2</f>
        <v>0.5858983936000001</v>
      </c>
      <c r="H31" s="50">
        <f>((29.9*$A10^2)/H10)^2</f>
        <v>0.4604729339570443</v>
      </c>
    </row>
    <row r="32" spans="1:8" ht="12.75">
      <c r="A32" s="69">
        <v>10</v>
      </c>
      <c r="B32" s="47">
        <f>((29.9*$A11^2)/B11)^2</f>
        <v>1.2263511659807955</v>
      </c>
      <c r="C32" s="48">
        <f>((29.9*$A11^2)/C11)^2</f>
        <v>0.4835100054083288</v>
      </c>
      <c r="D32" s="48">
        <f>((29.9*$A11^2)/D11)^2</f>
        <v>0.19915571396747606</v>
      </c>
      <c r="E32" s="48">
        <f>((29.9*$A11^2)/E11)^2</f>
        <v>4.627141452305781</v>
      </c>
      <c r="F32" s="49">
        <f>((29.9*$A11^2)/F11)^2</f>
        <v>0.034922265625000004</v>
      </c>
      <c r="G32" s="48">
        <f>((29.9*$A11^2)/G11)^2</f>
        <v>0.44148641975308633</v>
      </c>
      <c r="H32" s="50">
        <f>((29.9*$A11^2)/H11)^2</f>
        <v>0.41704257611874856</v>
      </c>
    </row>
    <row r="33" spans="1:8" ht="12.75">
      <c r="A33" s="69">
        <v>12</v>
      </c>
      <c r="B33" s="47">
        <f>((29.9*$A12^2)/B12)^2</f>
        <v>1.1586369599999995</v>
      </c>
      <c r="C33" s="48">
        <f>((29.9*$A12^2)/C12)^2</f>
        <v>0.45974806522413036</v>
      </c>
      <c r="D33" s="48">
        <f>((29.9*$A12^2)/D12)^2</f>
        <v>0.18819424129332712</v>
      </c>
      <c r="E33" s="48"/>
      <c r="F33" s="49">
        <f>((29.9*$A12^2)/F12)^2</f>
        <v>0.03218435999999999</v>
      </c>
      <c r="G33" s="48">
        <f>((29.9*$A12^2)/G12)^2</f>
        <v>0.2896592399999999</v>
      </c>
      <c r="H33" s="50">
        <f>((29.9*$A12^2)/H12)^2</f>
        <v>0.3761777777777777</v>
      </c>
    </row>
    <row r="34" spans="1:8" ht="12.75">
      <c r="A34" s="69">
        <v>14</v>
      </c>
      <c r="B34" s="47">
        <f>((29.9*$A13^2)/B13)^2</f>
        <v>1.270129</v>
      </c>
      <c r="C34" s="48"/>
      <c r="D34" s="48">
        <f>((29.9*$A13^2)/D13)^2</f>
        <v>0.18034177777777774</v>
      </c>
      <c r="E34" s="48"/>
      <c r="F34" s="49">
        <f>((29.9*$A13^2)/F13)^2</f>
        <v>0.034833348371130675</v>
      </c>
      <c r="G34" s="48">
        <f>((29.9*$A13^2)/G13)^2</f>
        <v>0.23850200111111106</v>
      </c>
      <c r="H34" s="50"/>
    </row>
    <row r="35" spans="1:8" ht="12.75">
      <c r="A35" s="69">
        <v>16</v>
      </c>
      <c r="B35" s="47">
        <f>((29.9*$A14^2)/B14)^2</f>
        <v>1.1302052345679012</v>
      </c>
      <c r="C35" s="48"/>
      <c r="D35" s="48">
        <f>((29.9*$A14^2)/D14)^2</f>
        <v>0.17352722102087093</v>
      </c>
      <c r="E35" s="48"/>
      <c r="F35" s="49">
        <f>((29.9*$A14^2)/F14)^2</f>
        <v>0.03168731171444023</v>
      </c>
      <c r="G35" s="48">
        <f>((29.9*$A14^2)/G14)^2</f>
        <v>0.29892775183673465</v>
      </c>
      <c r="H35" s="50"/>
    </row>
    <row r="36" spans="1:8" ht="12.75">
      <c r="A36" s="69">
        <v>18</v>
      </c>
      <c r="B36" s="47">
        <f>((29.9*$A15^2)/B15)^2</f>
        <v>1.062127588954278</v>
      </c>
      <c r="C36" s="48"/>
      <c r="D36" s="48">
        <f>((29.9*$A15^2)/D15)^2</f>
        <v>0.16850329244469983</v>
      </c>
      <c r="E36" s="48"/>
      <c r="F36" s="49">
        <f>((29.9*$A15^2)/F15)^2</f>
        <v>0.028885685983379504</v>
      </c>
      <c r="G36" s="48">
        <f>((29.9*$A15^2)/G15)^2</f>
        <v>0.28965924000000004</v>
      </c>
      <c r="H36" s="50"/>
    </row>
    <row r="37" spans="1:8" ht="12.75">
      <c r="A37" s="69">
        <v>20</v>
      </c>
      <c r="B37" s="47">
        <f>((29.9*$A16^2)/B16)^2</f>
        <v>0.9933444444444445</v>
      </c>
      <c r="C37" s="48"/>
      <c r="D37" s="48">
        <f>((29.9*$A16^2)/D16)^2</f>
        <v>0.16325967859751642</v>
      </c>
      <c r="E37" s="48"/>
      <c r="F37" s="49">
        <f>((29.9*$A16^2)/F16)^2</f>
        <v>0.026842109213736164</v>
      </c>
      <c r="G37" s="48">
        <f>((29.9*$A16^2)/G16)^2</f>
        <v>0.29554049586776854</v>
      </c>
      <c r="H37" s="50"/>
    </row>
    <row r="38" spans="1:8" ht="12.75">
      <c r="A38" s="69">
        <v>24</v>
      </c>
      <c r="B38" s="47">
        <f>((29.9*$A17^2)/B17)^2</f>
        <v>0.8666502900219136</v>
      </c>
      <c r="C38" s="48"/>
      <c r="D38" s="48">
        <f>((29.9*$A17^2)/D17)^2</f>
        <v>0.15624719288892128</v>
      </c>
      <c r="E38" s="48"/>
      <c r="F38" s="48"/>
      <c r="G38" s="48"/>
      <c r="H38" s="50"/>
    </row>
    <row r="39" spans="1:8" ht="12.75">
      <c r="A39" s="71">
        <v>30</v>
      </c>
      <c r="B39" s="51">
        <f>((29.9*$A18^2)/B18)^2</f>
        <v>0.6649661157024793</v>
      </c>
      <c r="C39" s="52"/>
      <c r="D39" s="52"/>
      <c r="E39" s="52"/>
      <c r="F39" s="52"/>
      <c r="G39" s="52"/>
      <c r="H39" s="53"/>
    </row>
    <row r="42" ht="12.75">
      <c r="A42" t="s">
        <v>127</v>
      </c>
    </row>
    <row r="45" spans="1:12" ht="12.75">
      <c r="A45" t="s">
        <v>128</v>
      </c>
      <c r="B45">
        <v>0</v>
      </c>
      <c r="C45">
        <v>10</v>
      </c>
      <c r="D45">
        <v>20</v>
      </c>
      <c r="E45">
        <v>30</v>
      </c>
      <c r="F45">
        <v>40</v>
      </c>
      <c r="G45">
        <v>50</v>
      </c>
      <c r="H45">
        <v>60</v>
      </c>
      <c r="I45">
        <v>70</v>
      </c>
      <c r="J45">
        <v>80</v>
      </c>
      <c r="K45">
        <v>90</v>
      </c>
      <c r="L45">
        <v>100</v>
      </c>
    </row>
    <row r="46" spans="1:12" ht="12.75">
      <c r="A46" t="s">
        <v>129</v>
      </c>
      <c r="B46">
        <v>0</v>
      </c>
      <c r="C46">
        <v>0.35</v>
      </c>
      <c r="D46">
        <v>0.65</v>
      </c>
      <c r="E46">
        <v>0.9</v>
      </c>
      <c r="F46">
        <v>0.93</v>
      </c>
      <c r="G46">
        <v>0.96</v>
      </c>
      <c r="H46">
        <v>0.98</v>
      </c>
      <c r="I46">
        <v>0.99</v>
      </c>
      <c r="J46">
        <v>1</v>
      </c>
      <c r="K46">
        <v>1</v>
      </c>
      <c r="L46">
        <v>1</v>
      </c>
    </row>
    <row r="48" ht="12.75">
      <c r="D48" t="s">
        <v>130</v>
      </c>
    </row>
  </sheetData>
  <mergeCells count="6">
    <mergeCell ref="A1:H1"/>
    <mergeCell ref="B2:C2"/>
    <mergeCell ref="F2:G2"/>
    <mergeCell ref="B23:C23"/>
    <mergeCell ref="F23:G23"/>
    <mergeCell ref="B22:H22"/>
  </mergeCells>
  <printOptions/>
  <pageMargins left="0.31" right="0.44" top="0.24" bottom="0.71" header="0.06" footer="0.5"/>
  <pageSetup fitToHeight="1" fitToWidth="1" horizontalDpi="600" verticalDpi="600" orientation="portrait" r:id="rId1"/>
  <headerFooter alignWithMargins="0">
    <oddFooter>&amp;L&amp;F - &amp;A&amp;CRev 0, July 30, 2006&amp;R&amp;D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29"/>
  <sheetViews>
    <sheetView workbookViewId="0" topLeftCell="A1">
      <selection activeCell="J40" sqref="J40"/>
    </sheetView>
  </sheetViews>
  <sheetFormatPr defaultColWidth="9.140625" defaultRowHeight="12.75"/>
  <cols>
    <col min="1" max="1" width="12.421875" style="0" customWidth="1"/>
  </cols>
  <sheetData>
    <row r="1" spans="1:9" ht="12.75">
      <c r="A1" s="58" t="s">
        <v>112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t="s">
        <v>110</v>
      </c>
      <c r="B2" t="s">
        <v>111</v>
      </c>
      <c r="C2" s="58" t="s">
        <v>113</v>
      </c>
      <c r="D2" s="58"/>
      <c r="E2" s="58"/>
      <c r="F2" s="58"/>
      <c r="G2" s="58"/>
      <c r="H2" s="58"/>
      <c r="I2" s="58"/>
    </row>
    <row r="3" spans="3:8" ht="12.75">
      <c r="C3" s="58" t="s">
        <v>114</v>
      </c>
      <c r="D3" s="58"/>
      <c r="E3" s="58"/>
      <c r="F3" s="58" t="s">
        <v>114</v>
      </c>
      <c r="G3" s="58"/>
      <c r="H3" s="58"/>
    </row>
    <row r="4" spans="3:8" ht="12.75">
      <c r="C4" s="1" t="s">
        <v>92</v>
      </c>
      <c r="D4" s="1" t="s">
        <v>116</v>
      </c>
      <c r="E4" s="1" t="s">
        <v>117</v>
      </c>
      <c r="F4" s="1" t="s">
        <v>92</v>
      </c>
      <c r="G4" s="1" t="s">
        <v>116</v>
      </c>
      <c r="H4" s="1" t="s">
        <v>117</v>
      </c>
    </row>
    <row r="5" spans="1:8" ht="12.75">
      <c r="A5" s="64" t="s">
        <v>115</v>
      </c>
      <c r="B5" s="23">
        <v>1</v>
      </c>
      <c r="C5" s="34">
        <v>8</v>
      </c>
      <c r="D5" s="34">
        <v>0.74</v>
      </c>
      <c r="E5" s="34">
        <v>0.88</v>
      </c>
      <c r="F5" s="34">
        <v>17</v>
      </c>
      <c r="G5" s="34">
        <v>0.61</v>
      </c>
      <c r="H5" s="37">
        <v>0.84</v>
      </c>
    </row>
    <row r="6" spans="1:8" ht="12.75">
      <c r="A6" s="65"/>
      <c r="B6" s="26">
        <v>1.5</v>
      </c>
      <c r="C6" s="35">
        <v>17</v>
      </c>
      <c r="D6" s="35">
        <v>0.69</v>
      </c>
      <c r="E6" s="35">
        <v>0.84</v>
      </c>
      <c r="F6" s="35">
        <v>30</v>
      </c>
      <c r="G6" s="35">
        <v>0.7</v>
      </c>
      <c r="H6" s="38">
        <v>0.82</v>
      </c>
    </row>
    <row r="7" spans="1:8" ht="12.75">
      <c r="A7" s="65"/>
      <c r="B7" s="29">
        <v>2</v>
      </c>
      <c r="C7" s="35">
        <v>25</v>
      </c>
      <c r="D7" s="35">
        <v>0.7</v>
      </c>
      <c r="E7" s="35">
        <v>0.85</v>
      </c>
      <c r="F7" s="35">
        <v>62</v>
      </c>
      <c r="G7" s="35">
        <v>0.68</v>
      </c>
      <c r="H7" s="38">
        <v>0.77</v>
      </c>
    </row>
    <row r="8" spans="1:8" ht="12.75">
      <c r="A8" s="65"/>
      <c r="B8" s="26">
        <v>2.5</v>
      </c>
      <c r="C8" s="35">
        <v>49</v>
      </c>
      <c r="D8" s="35">
        <v>0.66</v>
      </c>
      <c r="E8" s="35">
        <v>0.84</v>
      </c>
      <c r="F8" s="35">
        <v>84</v>
      </c>
      <c r="G8" s="35">
        <v>0.71</v>
      </c>
      <c r="H8" s="38">
        <v>0.81</v>
      </c>
    </row>
    <row r="9" spans="1:8" ht="12.75">
      <c r="A9" s="65"/>
      <c r="B9" s="29">
        <v>3</v>
      </c>
      <c r="C9" s="35">
        <v>66</v>
      </c>
      <c r="D9" s="35">
        <v>0.66</v>
      </c>
      <c r="E9" s="35">
        <v>0.82</v>
      </c>
      <c r="F9" s="35">
        <v>118</v>
      </c>
      <c r="G9" s="35">
        <v>0.7</v>
      </c>
      <c r="H9" s="38">
        <v>0.82</v>
      </c>
    </row>
    <row r="10" spans="1:8" ht="12.75">
      <c r="A10" s="65"/>
      <c r="B10" s="30">
        <v>4</v>
      </c>
      <c r="C10" s="35">
        <v>125</v>
      </c>
      <c r="D10" s="35">
        <v>0.67</v>
      </c>
      <c r="E10" s="35">
        <v>0.82</v>
      </c>
      <c r="F10" s="35">
        <v>181</v>
      </c>
      <c r="G10" s="35">
        <v>0.74</v>
      </c>
      <c r="H10" s="38">
        <v>0.82</v>
      </c>
    </row>
    <row r="11" spans="1:8" ht="12.75">
      <c r="A11" s="65"/>
      <c r="B11" s="29">
        <v>6</v>
      </c>
      <c r="C11" s="35">
        <v>239</v>
      </c>
      <c r="D11" s="35">
        <v>0.74</v>
      </c>
      <c r="E11" s="35">
        <v>0.85</v>
      </c>
      <c r="F11" s="35">
        <v>367</v>
      </c>
      <c r="G11" s="35">
        <v>0.78</v>
      </c>
      <c r="H11" s="38">
        <v>0.84</v>
      </c>
    </row>
    <row r="12" spans="1:8" ht="12.75">
      <c r="A12" s="66"/>
      <c r="B12" s="31">
        <v>8</v>
      </c>
      <c r="C12" s="36">
        <v>268</v>
      </c>
      <c r="D12" s="36">
        <v>0.6</v>
      </c>
      <c r="E12" s="36">
        <v>0.85</v>
      </c>
      <c r="F12" s="36">
        <v>526</v>
      </c>
      <c r="G12" s="36">
        <v>0.74</v>
      </c>
      <c r="H12" s="39">
        <v>0.87</v>
      </c>
    </row>
    <row r="13" spans="1:8" ht="12.75">
      <c r="A13" s="64" t="s">
        <v>118</v>
      </c>
      <c r="B13" s="24">
        <v>1</v>
      </c>
      <c r="C13" s="34">
        <v>16</v>
      </c>
      <c r="D13" s="34">
        <v>0.53</v>
      </c>
      <c r="E13" s="34">
        <v>0.86</v>
      </c>
      <c r="F13" s="24"/>
      <c r="G13" s="24"/>
      <c r="H13" s="25"/>
    </row>
    <row r="14" spans="1:8" ht="12.75">
      <c r="A14" s="65"/>
      <c r="B14" s="27">
        <v>2</v>
      </c>
      <c r="C14" s="35">
        <v>59</v>
      </c>
      <c r="D14" s="35">
        <v>0.53</v>
      </c>
      <c r="E14" s="35">
        <v>0.81</v>
      </c>
      <c r="F14" s="27"/>
      <c r="G14" s="27"/>
      <c r="H14" s="28"/>
    </row>
    <row r="15" spans="1:8" ht="12.75">
      <c r="A15" s="65"/>
      <c r="B15" s="27">
        <v>3</v>
      </c>
      <c r="C15" s="35">
        <v>120</v>
      </c>
      <c r="D15" s="35">
        <v>0.5</v>
      </c>
      <c r="E15" s="35">
        <v>0.8</v>
      </c>
      <c r="F15" s="27"/>
      <c r="G15" s="27"/>
      <c r="H15" s="28"/>
    </row>
    <row r="16" spans="1:8" ht="12.75">
      <c r="A16" s="65"/>
      <c r="B16" s="27">
        <v>4</v>
      </c>
      <c r="C16" s="35">
        <v>195</v>
      </c>
      <c r="D16" s="35">
        <v>0.52</v>
      </c>
      <c r="E16" s="35">
        <v>0.8</v>
      </c>
      <c r="F16" s="27"/>
      <c r="G16" s="27"/>
      <c r="H16" s="28"/>
    </row>
    <row r="17" spans="1:8" ht="12.75">
      <c r="A17" s="65"/>
      <c r="B17" s="27">
        <v>6</v>
      </c>
      <c r="C17" s="35">
        <v>340</v>
      </c>
      <c r="D17" s="35">
        <v>0.52</v>
      </c>
      <c r="E17" s="35">
        <v>0.8</v>
      </c>
      <c r="F17" s="27"/>
      <c r="G17" s="27"/>
      <c r="H17" s="28"/>
    </row>
    <row r="18" spans="1:8" ht="12.75">
      <c r="A18" s="65"/>
      <c r="B18" s="27">
        <v>8</v>
      </c>
      <c r="C18" s="35">
        <v>518</v>
      </c>
      <c r="D18" s="35">
        <v>0.54</v>
      </c>
      <c r="E18" s="35">
        <v>0.82</v>
      </c>
      <c r="F18" s="27"/>
      <c r="G18" s="27"/>
      <c r="H18" s="28"/>
    </row>
    <row r="19" spans="1:8" ht="12.75">
      <c r="A19" s="65"/>
      <c r="B19" s="27">
        <v>10</v>
      </c>
      <c r="C19" s="35">
        <v>1000</v>
      </c>
      <c r="D19" s="35">
        <v>0.47</v>
      </c>
      <c r="E19" s="35">
        <v>0.8</v>
      </c>
      <c r="F19" s="27"/>
      <c r="G19" s="27"/>
      <c r="H19" s="28"/>
    </row>
    <row r="20" spans="1:8" ht="12.75">
      <c r="A20" s="66"/>
      <c r="B20" s="32">
        <v>12</v>
      </c>
      <c r="C20" s="36">
        <v>1530</v>
      </c>
      <c r="D20" s="36">
        <v>0.49</v>
      </c>
      <c r="E20" s="36">
        <v>0.78</v>
      </c>
      <c r="F20" s="32"/>
      <c r="G20" s="32"/>
      <c r="H20" s="33"/>
    </row>
    <row r="21" spans="1:8" ht="13.5" customHeight="1">
      <c r="A21" s="64" t="s">
        <v>119</v>
      </c>
      <c r="B21" s="24">
        <v>2</v>
      </c>
      <c r="C21" s="34">
        <v>60</v>
      </c>
      <c r="D21" s="34">
        <v>0.37</v>
      </c>
      <c r="E21" s="34">
        <v>0.69</v>
      </c>
      <c r="F21" s="24"/>
      <c r="G21" s="24"/>
      <c r="H21" s="25"/>
    </row>
    <row r="22" spans="1:8" ht="12.75">
      <c r="A22" s="65"/>
      <c r="B22" s="27">
        <v>3</v>
      </c>
      <c r="C22" s="35">
        <v>111</v>
      </c>
      <c r="D22" s="35">
        <v>0.4</v>
      </c>
      <c r="E22" s="35">
        <v>0.69</v>
      </c>
      <c r="F22" s="27"/>
      <c r="G22" s="27"/>
      <c r="H22" s="28"/>
    </row>
    <row r="23" spans="1:8" ht="12.75">
      <c r="A23" s="65"/>
      <c r="B23" s="27">
        <v>4</v>
      </c>
      <c r="C23" s="35">
        <v>238</v>
      </c>
      <c r="D23" s="35">
        <v>0.4</v>
      </c>
      <c r="E23" s="35">
        <v>0.69</v>
      </c>
      <c r="F23" s="27"/>
      <c r="G23" s="27"/>
      <c r="H23" s="28"/>
    </row>
    <row r="24" spans="1:8" ht="12.75">
      <c r="A24" s="65"/>
      <c r="B24" s="27">
        <v>6</v>
      </c>
      <c r="C24" s="35">
        <v>635</v>
      </c>
      <c r="D24" s="35">
        <v>0.4</v>
      </c>
      <c r="E24" s="35">
        <v>0.69</v>
      </c>
      <c r="F24" s="27"/>
      <c r="G24" s="27"/>
      <c r="H24" s="28"/>
    </row>
    <row r="25" spans="1:8" ht="12.75">
      <c r="A25" s="65"/>
      <c r="B25" s="27">
        <v>8</v>
      </c>
      <c r="C25" s="35">
        <v>1020</v>
      </c>
      <c r="D25" s="35">
        <v>0.4</v>
      </c>
      <c r="E25" s="35">
        <v>0.69</v>
      </c>
      <c r="F25" s="27"/>
      <c r="G25" s="27"/>
      <c r="H25" s="28"/>
    </row>
    <row r="26" spans="1:8" ht="12.75">
      <c r="A26" s="65"/>
      <c r="B26" s="27">
        <v>10</v>
      </c>
      <c r="C26" s="35">
        <v>1430</v>
      </c>
      <c r="D26" s="35">
        <v>0.4</v>
      </c>
      <c r="E26" s="35">
        <v>0.69</v>
      </c>
      <c r="F26" s="27"/>
      <c r="G26" s="27"/>
      <c r="H26" s="28"/>
    </row>
    <row r="27" spans="1:8" ht="12.75">
      <c r="A27" s="65"/>
      <c r="B27" s="27">
        <v>12</v>
      </c>
      <c r="C27" s="35">
        <v>2220</v>
      </c>
      <c r="D27" s="35">
        <v>0.4</v>
      </c>
      <c r="E27" s="35">
        <v>0.69</v>
      </c>
      <c r="F27" s="27"/>
      <c r="G27" s="27"/>
      <c r="H27" s="28"/>
    </row>
    <row r="28" spans="1:8" ht="12.75">
      <c r="A28" s="65"/>
      <c r="B28" s="27">
        <v>14</v>
      </c>
      <c r="C28" s="35">
        <v>2840</v>
      </c>
      <c r="D28" s="35">
        <v>0.4</v>
      </c>
      <c r="E28" s="35">
        <v>0.69</v>
      </c>
      <c r="F28" s="27"/>
      <c r="G28" s="27"/>
      <c r="H28" s="28"/>
    </row>
    <row r="29" spans="1:8" ht="12.75">
      <c r="A29" s="66"/>
      <c r="B29" s="32">
        <v>16</v>
      </c>
      <c r="C29" s="36">
        <v>3870</v>
      </c>
      <c r="D29" s="36">
        <v>0.4</v>
      </c>
      <c r="E29" s="36">
        <v>0.69</v>
      </c>
      <c r="F29" s="32"/>
      <c r="G29" s="32"/>
      <c r="H29" s="33"/>
    </row>
  </sheetData>
  <mergeCells count="7">
    <mergeCell ref="A5:A12"/>
    <mergeCell ref="A13:A20"/>
    <mergeCell ref="A21:A29"/>
    <mergeCell ref="A1:I1"/>
    <mergeCell ref="C2:I2"/>
    <mergeCell ref="C3:E3"/>
    <mergeCell ref="F3:H3"/>
  </mergeCells>
  <printOptions/>
  <pageMargins left="0.31" right="0.44" top="0.24" bottom="0.71" header="0.06" footer="0.5"/>
  <pageSetup fitToHeight="1" fitToWidth="1" horizontalDpi="600" verticalDpi="600" orientation="portrait" scale="97" r:id="rId2"/>
  <headerFooter alignWithMargins="0">
    <oddFooter>&amp;L&amp;F - &amp;A&amp;CRev 0, July 30, 2006&amp;R&amp;D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Tosco Refining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rjentz</dc:creator>
  <cp:keywords/>
  <dc:description/>
  <cp:lastModifiedBy>Robin Jentz</cp:lastModifiedBy>
  <cp:lastPrinted>2006-07-30T22:21:05Z</cp:lastPrinted>
  <dcterms:created xsi:type="dcterms:W3CDTF">1999-06-28T16:57:59Z</dcterms:created>
  <dcterms:modified xsi:type="dcterms:W3CDTF">2006-11-06T05:37:20Z</dcterms:modified>
  <cp:category/>
  <cp:version/>
  <cp:contentType/>
  <cp:contentStatus/>
</cp:coreProperties>
</file>